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23520" windowWidth="10515" windowHeight="1185" tabRatio="943" firstSheet="1" activeTab="1"/>
  </bookViews>
  <sheets>
    <sheet name="Лист1" sheetId="15" state="hidden" r:id="rId1"/>
    <sheet name="План 2019" sheetId="47" r:id="rId2"/>
  </sheets>
  <externalReferences>
    <externalReference r:id="rId3"/>
    <externalReference r:id="rId4"/>
  </externalReferences>
  <definedNames>
    <definedName name="АБП">'[1]Служебный ФКРБ'!$A$2:$A$136</definedName>
    <definedName name="ВидПредмета">'[1]Вид предмета'!$A$1:$A$3</definedName>
    <definedName name="_xlnm.Print_Titles" localSheetId="1">'План 2019'!$6:$8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OFFSET([1]ОПГЗ!$A$1,MATCH('[1]План ГЗ'!$P1,[1]ОПГЗ!$A:$A,0)-1,1,COUNTIF([1]ОПГЗ!$A:$A,'[1]План ГЗ'!$P1),1)</definedName>
    <definedName name="пкк">[2]Месяцы!$A$1:$A$13</definedName>
    <definedName name="Подпрограмма">'[1]Служебный ФКРБ'!$C$2:$C$31</definedName>
    <definedName name="Программа">'[1]Служебный ФКРБ'!$B$2:$B$145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45621"/>
</workbook>
</file>

<file path=xl/calcChain.xml><?xml version="1.0" encoding="utf-8"?>
<calcChain xmlns="http://schemas.openxmlformats.org/spreadsheetml/2006/main">
  <c r="H74" i="47" l="1"/>
  <c r="H58" i="47"/>
  <c r="H75" i="47"/>
  <c r="H56" i="47"/>
  <c r="H55" i="47"/>
  <c r="H53" i="47"/>
  <c r="H54" i="47"/>
  <c r="H27" i="47"/>
  <c r="H94" i="47" l="1"/>
  <c r="I94" i="47" s="1"/>
  <c r="H93" i="47"/>
  <c r="I93" i="47" s="1"/>
  <c r="H91" i="47"/>
  <c r="I91" i="47" s="1"/>
  <c r="H92" i="47"/>
  <c r="I92" i="47" s="1"/>
  <c r="H90" i="47"/>
  <c r="I90" i="47" s="1"/>
  <c r="H89" i="47"/>
  <c r="I89" i="47" s="1"/>
  <c r="H88" i="47"/>
  <c r="I88" i="47" s="1"/>
  <c r="H87" i="47"/>
  <c r="I87" i="47" s="1"/>
  <c r="H86" i="47"/>
  <c r="H85" i="47"/>
  <c r="I85" i="47" s="1"/>
  <c r="G86" i="47"/>
  <c r="H84" i="47"/>
  <c r="I84" i="47" s="1"/>
  <c r="H83" i="47"/>
  <c r="I83" i="47" s="1"/>
  <c r="H82" i="47"/>
  <c r="I82" i="47" s="1"/>
  <c r="H81" i="47"/>
  <c r="I81" i="47" s="1"/>
  <c r="H80" i="47"/>
  <c r="I80" i="47" s="1"/>
  <c r="H79" i="47"/>
  <c r="I79" i="47" s="1"/>
  <c r="H78" i="47"/>
  <c r="I78" i="47" s="1"/>
  <c r="H77" i="47"/>
  <c r="I77" i="47" s="1"/>
  <c r="H76" i="47"/>
  <c r="I76" i="47" s="1"/>
  <c r="I75" i="47"/>
  <c r="I74" i="47"/>
  <c r="H73" i="47"/>
  <c r="I73" i="47" s="1"/>
  <c r="H72" i="47"/>
  <c r="I72" i="47" s="1"/>
  <c r="I71" i="47"/>
  <c r="I70" i="47"/>
  <c r="H69" i="47"/>
  <c r="I69" i="47" s="1"/>
  <c r="I68" i="47"/>
  <c r="I63" i="47"/>
  <c r="I64" i="47"/>
  <c r="I67" i="47"/>
  <c r="I62" i="47"/>
  <c r="H66" i="47"/>
  <c r="I66" i="47" s="1"/>
  <c r="H65" i="47"/>
  <c r="I65" i="47" s="1"/>
  <c r="H61" i="47"/>
  <c r="I61" i="47" s="1"/>
  <c r="I60" i="47"/>
  <c r="I59" i="47"/>
  <c r="I58" i="47"/>
  <c r="H57" i="47"/>
  <c r="I57" i="47" s="1"/>
  <c r="I56" i="47"/>
  <c r="I55" i="47"/>
  <c r="I54" i="47"/>
  <c r="I53" i="47"/>
  <c r="H49" i="47"/>
  <c r="I49" i="47" s="1"/>
  <c r="H48" i="47"/>
  <c r="I48" i="47" s="1"/>
  <c r="H47" i="47"/>
  <c r="I47" i="47" s="1"/>
  <c r="H46" i="47"/>
  <c r="I46" i="47" s="1"/>
  <c r="H45" i="47"/>
  <c r="I45" i="47" s="1"/>
  <c r="H44" i="47"/>
  <c r="I44" i="47" s="1"/>
  <c r="H43" i="47"/>
  <c r="I43" i="47" s="1"/>
  <c r="H42" i="47"/>
  <c r="I42" i="47" s="1"/>
  <c r="H41" i="47"/>
  <c r="I41" i="47" s="1"/>
  <c r="H40" i="47"/>
  <c r="I40" i="47" s="1"/>
  <c r="H39" i="47"/>
  <c r="I39" i="47" s="1"/>
  <c r="H38" i="47"/>
  <c r="I38" i="47" s="1"/>
  <c r="H37" i="47"/>
  <c r="I37" i="47" s="1"/>
  <c r="H36" i="47"/>
  <c r="I36" i="47" s="1"/>
  <c r="H35" i="47"/>
  <c r="I35" i="47" s="1"/>
  <c r="H34" i="47"/>
  <c r="I34" i="47" s="1"/>
  <c r="H33" i="47"/>
  <c r="I33" i="47" s="1"/>
  <c r="H32" i="47"/>
  <c r="I32" i="47" s="1"/>
  <c r="H31" i="47"/>
  <c r="I31" i="47" s="1"/>
  <c r="H30" i="47"/>
  <c r="I30" i="47" s="1"/>
  <c r="H29" i="47"/>
  <c r="I29" i="47" s="1"/>
  <c r="H52" i="47"/>
  <c r="I52" i="47" s="1"/>
  <c r="H51" i="47"/>
  <c r="I51" i="47" s="1"/>
  <c r="H50" i="47"/>
  <c r="I50" i="47" s="1"/>
  <c r="H28" i="47"/>
  <c r="I28" i="47" s="1"/>
  <c r="I27" i="47"/>
  <c r="H26" i="47"/>
  <c r="I26" i="47" s="1"/>
  <c r="H25" i="47"/>
  <c r="I25" i="47" s="1"/>
  <c r="H24" i="47"/>
  <c r="I24" i="47" s="1"/>
  <c r="H23" i="47"/>
  <c r="I23" i="47" s="1"/>
  <c r="I19" i="47"/>
  <c r="H22" i="47"/>
  <c r="I22" i="47" s="1"/>
  <c r="H21" i="47"/>
  <c r="I21" i="47" s="1"/>
  <c r="H20" i="47"/>
  <c r="I20" i="47" s="1"/>
  <c r="I86" i="47" l="1"/>
  <c r="H16" i="47"/>
  <c r="I16" i="47" s="1"/>
  <c r="H18" i="47"/>
  <c r="I18" i="47" s="1"/>
  <c r="H17" i="47"/>
  <c r="I17" i="47" s="1"/>
  <c r="H15" i="47"/>
  <c r="I15" i="47" s="1"/>
  <c r="H14" i="47"/>
  <c r="I14" i="47" s="1"/>
  <c r="H13" i="47"/>
  <c r="I13" i="47" s="1"/>
  <c r="I12" i="47"/>
  <c r="I11" i="47"/>
  <c r="I9" i="47" l="1"/>
  <c r="K34" i="15" l="1"/>
  <c r="W34" i="15" s="1"/>
  <c r="X34" i="15" s="1"/>
  <c r="K33" i="15"/>
  <c r="W33" i="15" s="1"/>
  <c r="X33" i="15" s="1"/>
  <c r="K32" i="15"/>
  <c r="W32" i="15" s="1"/>
  <c r="X32" i="15" s="1"/>
  <c r="K31" i="15"/>
  <c r="W31" i="15" s="1"/>
  <c r="X31" i="15" s="1"/>
  <c r="W30" i="15"/>
  <c r="X30" i="15" s="1"/>
  <c r="W29" i="15"/>
  <c r="X29" i="15" s="1"/>
  <c r="X28" i="15"/>
  <c r="U27" i="15"/>
  <c r="X27" i="15" s="1"/>
  <c r="X26" i="15"/>
  <c r="X25" i="15"/>
  <c r="L24" i="15"/>
  <c r="K23" i="15"/>
  <c r="L23" i="15" s="1"/>
  <c r="X23" i="15" s="1"/>
  <c r="K22" i="15"/>
  <c r="L22" i="15" s="1"/>
  <c r="AA22" i="15" s="1"/>
  <c r="L21" i="15"/>
  <c r="X21" i="15" s="1"/>
  <c r="K20" i="15"/>
  <c r="L20" i="15" s="1"/>
  <c r="X20" i="15" s="1"/>
  <c r="K19" i="15"/>
  <c r="L19" i="15" s="1"/>
  <c r="X19" i="15" s="1"/>
  <c r="K18" i="15"/>
  <c r="L18" i="15" s="1"/>
  <c r="X18" i="15" s="1"/>
  <c r="Q17" i="15"/>
  <c r="K17" i="15"/>
  <c r="L17" i="15" s="1"/>
  <c r="K16" i="15"/>
  <c r="L16" i="15" s="1"/>
  <c r="X16" i="15" s="1"/>
  <c r="K15" i="15"/>
  <c r="L15" i="15" s="1"/>
  <c r="Q14" i="15"/>
  <c r="K14" i="15"/>
  <c r="L14" i="15" s="1"/>
  <c r="X22" i="15" l="1"/>
  <c r="X14" i="15"/>
  <c r="X17" i="15"/>
  <c r="Z21" i="15"/>
  <c r="AA21" i="15" s="1"/>
  <c r="X35" i="15" l="1"/>
  <c r="I10" i="47" l="1"/>
</calcChain>
</file>

<file path=xl/sharedStrings.xml><?xml version="1.0" encoding="utf-8"?>
<sst xmlns="http://schemas.openxmlformats.org/spreadsheetml/2006/main" count="824" uniqueCount="322">
  <si>
    <t>АО "Казахстанский фонд гарантирования депозитов"</t>
  </si>
  <si>
    <t>№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</si>
  <si>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</si>
  <si>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</si>
  <si>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</si>
  <si>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</si>
  <si>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</si>
  <si>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Утвержденная сумма на первый год трехлетнего периода</t>
  </si>
  <si>
    <t>Планируемый срок осуществления государственных закупок(месяц)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</si>
  <si>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</si>
  <si>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</si>
  <si>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</si>
  <si>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Одна услуга</t>
  </si>
  <si>
    <t>751410000</t>
  </si>
  <si>
    <t>Размещение рекламных объявлений в журналах и изданиях периодических, печатных</t>
  </si>
  <si>
    <t>Ресмилық республикалық және региондық мерзімдік баспасөзде басылымдарыда мақалаларды және ақпараттық хабарламаларды дайындау және жайғау</t>
  </si>
  <si>
    <t>Подготовка и размещение статей и информационных сообщений в официальных республиканских и региональных периодических печатных изданиях</t>
  </si>
  <si>
    <t>Товар</t>
  </si>
  <si>
    <t>Штука</t>
  </si>
  <si>
    <t>Материалы  печатные, не включенные в другие группировки</t>
  </si>
  <si>
    <t xml:space="preserve">Жылдық есеп кітапшасы </t>
  </si>
  <si>
    <t>Брошюра "Годовой отчет"</t>
  </si>
  <si>
    <t>Услуги по разработке интернет-сайта</t>
  </si>
  <si>
    <t>www.kdif.kz интернет сайтты дамыту бойынша қызымет көрсету</t>
  </si>
  <si>
    <t>04 Апрель</t>
  </si>
  <si>
    <t>06 Июнь</t>
  </si>
  <si>
    <t>Услуги и работы различные прочие, не включенные в другие группировки</t>
  </si>
  <si>
    <t>Общедоступные услуги почтовой связи</t>
  </si>
  <si>
    <t>Почтовые курьерские услуги</t>
  </si>
  <si>
    <t>ФАСТИ қызметі</t>
  </si>
  <si>
    <t>Услуги ФАСТИ</t>
  </si>
  <si>
    <t>Жалғас қызметпен тұруға болмайтын бөлмелерді шаруашылық жалдау</t>
  </si>
  <si>
    <t>Хозяйственная аренда нежилых помещений с сопутствующими услугами</t>
  </si>
  <si>
    <t xml:space="preserve">(Сыртқы аудит) аудиторлық қызмет көрсетуі </t>
  </si>
  <si>
    <t>05 Май</t>
  </si>
  <si>
    <t>10 Октябрь</t>
  </si>
  <si>
    <t>03 Март</t>
  </si>
  <si>
    <t xml:space="preserve">Председатель </t>
  </si>
  <si>
    <t xml:space="preserve">Заместитель Председателя  </t>
  </si>
  <si>
    <t xml:space="preserve">                                                                                                                       </t>
  </si>
  <si>
    <t>Директор юридического департамента</t>
  </si>
  <si>
    <t>Начальник   АХО</t>
  </si>
  <si>
    <t xml:space="preserve">                                                                                 </t>
  </si>
  <si>
    <t xml:space="preserve">                                                                               </t>
  </si>
  <si>
    <t>991240000414</t>
  </si>
  <si>
    <t>Тындыбаев М.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</si>
  <si>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</si>
  <si>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</si>
  <si>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</si>
  <si>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>Характеристика (описание) товаров, работ и услуг на русском языке</t>
  </si>
  <si>
    <t xml:space="preserve">Единица измерения 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</si>
  <si>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</si>
  <si>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</si>
  <si>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Конкурс</t>
  </si>
  <si>
    <t>"Қазақстанның депозиттерге кепілдік беру қоры" АҚ</t>
  </si>
  <si>
    <t>Когулов Б.Б.</t>
  </si>
  <si>
    <t>Абжанов К.К.</t>
  </si>
  <si>
    <t xml:space="preserve">Заместитель Председателя </t>
  </si>
  <si>
    <t>Даулетбердиев О.А.</t>
  </si>
  <si>
    <t>Сахариев А.Б.</t>
  </si>
  <si>
    <t>Доненбаева Э.А.</t>
  </si>
  <si>
    <t>Досумов Б.</t>
  </si>
  <si>
    <t>Абдраманова М.</t>
  </si>
  <si>
    <t>Утверждено приказом</t>
  </si>
  <si>
    <t>Согласовано:</t>
  </si>
  <si>
    <t xml:space="preserve">Штука </t>
  </si>
  <si>
    <t xml:space="preserve">Услуги на проведение исследования по изучению уровня осведомленности населения о системе гарантирования депозитов  </t>
  </si>
  <si>
    <t>Амирбекова Э.М.</t>
  </si>
  <si>
    <t>План закупок товаров, работ и услуг на 2016 год</t>
  </si>
  <si>
    <t xml:space="preserve">2016 г.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</si>
  <si>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Услуги по разработке интернет-сайта www.kdif.kz
</t>
  </si>
  <si>
    <t>Стойки для рекламных материалов</t>
  </si>
  <si>
    <t>Флаг настольный</t>
  </si>
  <si>
    <t>Үстелге қоятын жалау</t>
  </si>
  <si>
    <t>Жарнамалық материалдар үшін тіреулер</t>
  </si>
  <si>
    <t>Баспасөз қабырғасы</t>
  </si>
  <si>
    <t>Пресс-стена</t>
  </si>
  <si>
    <t>Организация мероприятий для СМИ (по итогам работы за год)</t>
  </si>
  <si>
    <t>Мониторинг СМИ и соц.сетей</t>
  </si>
  <si>
    <t>Разработка портала депозитной базы</t>
  </si>
  <si>
    <t>Депозиттерге кепілдік беру жүйесі туралы халықтық хабардарлығын зерттеу туралы қызметі</t>
  </si>
  <si>
    <t>БАҚ үшін іс-шаралар ұйымдастыру</t>
  </si>
  <si>
    <t>БАҚ және әлеуметтік желілер мониторингі</t>
  </si>
  <si>
    <t>Депозиттік базаның порталын әзірлеу</t>
  </si>
  <si>
    <t>Небольшая книга, без твердого переплёта</t>
  </si>
  <si>
    <t xml:space="preserve">И.о.Главного бухгалтера  </t>
  </si>
  <si>
    <t>Загорский И.С.</t>
  </si>
  <si>
    <t>Сумма с учетом корректировок</t>
  </si>
  <si>
    <t>Запрос ценовых предложений без размещения объявления</t>
  </si>
  <si>
    <t>№___ от __ ___________ 2016 года</t>
  </si>
  <si>
    <t>Наименование заказчика (организатора закупок)</t>
  </si>
  <si>
    <t>17</t>
  </si>
  <si>
    <t>АО "КФГД"</t>
  </si>
  <si>
    <t>Организация мероприятий для СМИ (по итогам работы за год) 3 пресс-конф.</t>
  </si>
  <si>
    <t>Ақпараттық промо-өнім- триплет</t>
  </si>
  <si>
    <t>Информационная промо-продукция - триплет</t>
  </si>
  <si>
    <t>Создание субтитров к информационному видеоролику Фонда</t>
  </si>
  <si>
    <t>Из одного источника путем заключения договора</t>
  </si>
  <si>
    <t>Сумма заключенного договора</t>
  </si>
  <si>
    <t>Экономия (+), перерасход (-)</t>
  </si>
  <si>
    <t>приказ №34 от 19.04.16</t>
  </si>
  <si>
    <t>приказ №28 от 31.03.16</t>
  </si>
  <si>
    <t>приказ №22 от 14.03.16</t>
  </si>
  <si>
    <t>приказ №36 от 27.04.16</t>
  </si>
  <si>
    <t>приказ №37 от 28.04.16</t>
  </si>
  <si>
    <t>751410002</t>
  </si>
  <si>
    <t>751410003</t>
  </si>
  <si>
    <t xml:space="preserve">Жылдық есеп кітапшасының дизайнын  жасау </t>
  </si>
  <si>
    <t>Разработка дизайна  годового отчета</t>
  </si>
  <si>
    <t>Жылдық есеп кітапшасының тиражын  жасап шығару</t>
  </si>
  <si>
    <t>Производство тиража годового отчета</t>
  </si>
  <si>
    <t>751410004</t>
  </si>
  <si>
    <t>Услуги, связанные с производством кинофильмов, видеофильмов и фильмов вспомогательные прочие, не включенные в другие гр.</t>
  </si>
  <si>
    <t>Создание аудио и видео-брендблока АО "КФГД"</t>
  </si>
  <si>
    <t>"ҚДКҚ" АҚ аудио және видео-брендблогын жасау</t>
  </si>
  <si>
    <t>Ручка с логотипом Фонда</t>
  </si>
  <si>
    <t>Қордың логотипімен қалам</t>
  </si>
  <si>
    <t>Блокнот с логотипом Фонда</t>
  </si>
  <si>
    <t>Қордың логотипімен қойын дәптер</t>
  </si>
  <si>
    <t>Вывеска с логотипом Фонда</t>
  </si>
  <si>
    <t>Қордың логотипімен маңдайша</t>
  </si>
  <si>
    <t>«Папка для документов с логотипом Фонда»</t>
  </si>
  <si>
    <t>Қордың логотипімен құжаттарға арналған қалта</t>
  </si>
  <si>
    <t>Папка для документов с логотипом Фонда</t>
  </si>
  <si>
    <t>«Флаг с логотипом Фонда»</t>
  </si>
  <si>
    <t>Қордың логотипімен жалау</t>
  </si>
  <si>
    <t>Флаг с логотипом Фонда</t>
  </si>
  <si>
    <t>«Рекламные конструкции с логотипом Фонда»</t>
  </si>
  <si>
    <t>Қордың логотипімен жарнама құрылыстары</t>
  </si>
  <si>
    <t>Рекламные конструкции с логотипом Фонда</t>
  </si>
  <si>
    <t>07 июль</t>
  </si>
  <si>
    <t>Техническое обслуживание персонального компьютера</t>
  </si>
  <si>
    <t>Техническая поддержка Basic Support/Subscription Vmware vSphere 6 Standard for 1 processor for 1 year (VS6-STD-G-SSS-C)</t>
  </si>
  <si>
    <t>Техническая поддержка Basic Support/Subscription Vmware vCenter Server 6 Standard for vSphere for 1 year (VСS6-STD-G-SSS-C)</t>
  </si>
  <si>
    <t xml:space="preserve"> Basic Support/Subscription Vmware vSphere 6 Standard for 1 processor for 1 year (VS6-STD-G-SSS-C) техникалық қолдау</t>
  </si>
  <si>
    <t xml:space="preserve"> Basic Support/Subscription Vmware vCenter Server 6 Standard for vSphere for 1 year (VСS6-STD-G-SSS-C) техникалық қолдау</t>
  </si>
  <si>
    <t>Семинар по налогам (изменения в НК)</t>
  </si>
  <si>
    <t>ВОЛС (волоконно-оптическая линия связи), система передачи данных</t>
  </si>
  <si>
    <t xml:space="preserve">Доменное имя и хостинг </t>
  </si>
  <si>
    <t xml:space="preserve">Домендік атау және хостинг </t>
  </si>
  <si>
    <t>ТОБЖ (талшықты-оптикалық байланыс желісі), деректерді беру жүйесі</t>
  </si>
  <si>
    <t>Пошталық курьерлік қызметтер</t>
  </si>
  <si>
    <t>IV квартал</t>
  </si>
  <si>
    <t>I квартал</t>
  </si>
  <si>
    <t>III квартал</t>
  </si>
  <si>
    <t>II квартал</t>
  </si>
  <si>
    <t>"БАТА" АЖ техникалық сүйемелдеу және жетілдіру</t>
  </si>
  <si>
    <t>Жалпыға қол жетімді почта байланысының қызметті</t>
  </si>
  <si>
    <t>Пользование Business Trunk и номеров Business Trunk</t>
  </si>
  <si>
    <t>MS ExchgStdCAL 2016 SNGL OLP NL</t>
  </si>
  <si>
    <t>Трудочасы инженера по обслуживанию ИТ-инфраструктуры</t>
  </si>
  <si>
    <t>Скобы для степлера №23/13</t>
  </si>
  <si>
    <t>Print cartridge Xerox/Ph5335/Laser/black</t>
  </si>
  <si>
    <t>Бумага офисная А3</t>
  </si>
  <si>
    <t xml:space="preserve">Фирменные бланки </t>
  </si>
  <si>
    <t>Бумага офисная А4</t>
  </si>
  <si>
    <t>Акбаева Б.М.</t>
  </si>
  <si>
    <t>АТ-инфрақұрылымын  қызмет көрсету инженердің еңбек сағаты</t>
  </si>
  <si>
    <t>Антивирустық бағдарламаны жаңарту (Kaspersky Endpoint Security for Business Select STAN and Caucasus. 50-99 Node 1 year Renewal License)</t>
  </si>
  <si>
    <t>Обновление Антивирусной программы (Kaspersky Endpoint Security for Business Select STAN and Caucasus. 50-99 Node 1 year Renewal License)</t>
  </si>
  <si>
    <t>Планируемый срок осуществления закупок (квартал)</t>
  </si>
  <si>
    <t>9</t>
  </si>
  <si>
    <t>Сыйымдылығы ұлғайтылған бірегей лазерлік картридж HP LaserJet 55X,  қара (CE255X)</t>
  </si>
  <si>
    <t>Интернет</t>
  </si>
  <si>
    <t>прямое заключение договора</t>
  </si>
  <si>
    <t>Тендер</t>
  </si>
  <si>
    <t>План закупок товаров, работ и услуг на 2019 год</t>
  </si>
  <si>
    <t>2019 год</t>
  </si>
  <si>
    <t xml:space="preserve">Наименование заказчика </t>
  </si>
  <si>
    <t xml:space="preserve">Наименование закупаемых товаров, работ, услуг на казахском языке 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</si>
  <si>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</si>
  <si>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</si>
  <si>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Утвержденная сумма на первый год трехлетнего периода (тенге) без учета НДС</t>
  </si>
  <si>
    <t>Утвержденная сумма на второй  год трехлетнего периода (тенге) без учета НДС</t>
  </si>
  <si>
    <t>Утвержденная сумма на третий год трехлетнего периода (тенге) без учета НДС</t>
  </si>
  <si>
    <t>8</t>
  </si>
  <si>
    <t>10</t>
  </si>
  <si>
    <t>11</t>
  </si>
  <si>
    <t>Обязательное страхование ответственности работодателя</t>
  </si>
  <si>
    <t>Жұмыс берушінің жауапкершілігін міндетті сақтандыру</t>
  </si>
  <si>
    <t>Ремонт основных средств</t>
  </si>
  <si>
    <t>Негізгі құралдарды жөндеу</t>
  </si>
  <si>
    <t>Дербес компьютерге техникалық қызмет көрсету</t>
  </si>
  <si>
    <t>Техническая поддержка оборудования видеоконференцсвязи</t>
  </si>
  <si>
    <t>Бейнеконференцбайланыс жабдықтарын техникалық қолдау</t>
  </si>
  <si>
    <t>Информационно-разъяснительные стойки</t>
  </si>
  <si>
    <t>Ақпараттық-түсіндіру тіректері</t>
  </si>
  <si>
    <t>Размещение информационных сообщений в печатной издании "Казахстанская правда"</t>
  </si>
  <si>
    <t>Ақпараттық хабарламаларды "Казахстанская правда" баспа басылымында орналастыру"</t>
  </si>
  <si>
    <t>Размещение информационных сообщений в печатной издании "Егемен Казахстан"</t>
  </si>
  <si>
    <t>Ақпараттық хабарламаларды "Егемен Казахстан" баспа басылымында орналастыру"</t>
  </si>
  <si>
    <t xml:space="preserve">Участие в информационных аналитических и авторских передачах на телевидении </t>
  </si>
  <si>
    <t>Теледидарда ақпараттық талдамалық және авторлық бағдарламаларға қатысу</t>
  </si>
  <si>
    <t>Производство видеоролика</t>
  </si>
  <si>
    <t>Бейнеролик өндіру</t>
  </si>
  <si>
    <t>Разработка электронной версии годового отчета</t>
  </si>
  <si>
    <t>Жылдық есептің электрондық нұсқасын әзірлеу</t>
  </si>
  <si>
    <t xml:space="preserve">Запрос ценовых предложений </t>
  </si>
  <si>
    <t>Коммутатор Cisco Catalyst WS-C2960X-24PS-L техникалық қолдау (SMARTNET)</t>
  </si>
  <si>
    <t>Коммутатор Cisco Catalyst WS-C2960X-48FPS-L техникалық қолдау (SMARTNET)</t>
  </si>
  <si>
    <t>Сопровождение ПО 1С: Бухгалтерия 8.3</t>
  </si>
  <si>
    <t>Техническая  поддержка  (SMARTNET) на коммутатор Cisco Catalyst WS-C2960X-24PS-L</t>
  </si>
  <si>
    <t>Техническая поддержка  (SMARTNET) на коммутатор Cisco Catalyst WS-C2960X-48FPS-L</t>
  </si>
  <si>
    <t>1 С:-Бухгалтерия 8.3 БЖ сүйемелдеу</t>
  </si>
  <si>
    <t>Сопровождение веб-сайта</t>
  </si>
  <si>
    <t>Доступ к АИС "Электронный документооборот"</t>
  </si>
  <si>
    <t>Веб-сайтты сүйемелдеу</t>
  </si>
  <si>
    <t>Электрондық құжат айналымы "ААЖ қолжетімділік"</t>
  </si>
  <si>
    <t>Степлер большой</t>
  </si>
  <si>
    <t>Скрепки (большие)</t>
  </si>
  <si>
    <t>Үлкен Степлер</t>
  </si>
  <si>
    <t>Степлерге арналған қапсырма шегелер № 23/13</t>
  </si>
  <si>
    <t>Қыстырғыштар (үлкен)</t>
  </si>
  <si>
    <t>Картридж HP CF283-Black, 1500pages, HP</t>
  </si>
  <si>
    <t xml:space="preserve">Картридж лазерный HP CE255X черный, для Laser Jet P3015/P3011,
12500 страниц, повышенной емкости
</t>
  </si>
  <si>
    <t xml:space="preserve"> Картридж HP CF214X для LaserJet 700 MFP M712, черный</t>
  </si>
  <si>
    <t>HP CF283-Black, 1500pages, HP картриджы</t>
  </si>
  <si>
    <t>HP CF214X для LaserJet 700 MFP M712,  картриджы, қара</t>
  </si>
  <si>
    <t>Батарейка АAA</t>
  </si>
  <si>
    <t>Вода питьевая 19л.</t>
  </si>
  <si>
    <t>Вода питьевая 0,5 л.</t>
  </si>
  <si>
    <t>Бухта UTP кабель, 305м, Cat6, экранированный</t>
  </si>
  <si>
    <t>Кабелегон, напольный темно коричневый, 2м.</t>
  </si>
  <si>
    <t>Хомуты, темные, 100 шт.</t>
  </si>
  <si>
    <t>Коннекторы, 100 шт.</t>
  </si>
  <si>
    <t>Заглушка для офисного стола (для пропускания проводов сквозь), серый-40 шт., коричневый -20шт.</t>
  </si>
  <si>
    <t>Кабелегон, 35х80, 2м.</t>
  </si>
  <si>
    <t>Шурупы по дереву, 25 мм</t>
  </si>
  <si>
    <t>Лента клейкая двухсторонняя 0.05 м х 10 м для укладки напольных покрытий</t>
  </si>
  <si>
    <t>ААА батарейкасы</t>
  </si>
  <si>
    <t>Ауыз су 19л.</t>
  </si>
  <si>
    <t>Ауыз су 0,5 л.</t>
  </si>
  <si>
    <t>Патчкордтар, 7 м</t>
  </si>
  <si>
    <t>Патчкордтар, 5 м</t>
  </si>
  <si>
    <t>Патчкордтар, 10 м</t>
  </si>
  <si>
    <t>Патчкорды, 5 м</t>
  </si>
  <si>
    <t>Патчкорды, 7 м</t>
  </si>
  <si>
    <t>Патчкорды, 10 м</t>
  </si>
  <si>
    <t>UTP Bay кабелі, 305m, Cat6, экрандалған</t>
  </si>
  <si>
    <t>Кабелегон, едендік қара қоңыр, 2м.</t>
  </si>
  <si>
    <t>Қысқыштар, қара, 100 дана.</t>
  </si>
  <si>
    <t>Коннекторлар, 100 дана</t>
  </si>
  <si>
    <t>Кеңсе үстеліне арналған бітеуіш (сымдарды өткізу үшін), сұр-40 дана, қоңыр-20 дана.</t>
  </si>
  <si>
    <t>Ағаш шуруптар, 25 мм</t>
  </si>
  <si>
    <t>Екі жақты жабысқақ таспа 0.05 м х 10 м еден жабындарын төсеуге арналған</t>
  </si>
  <si>
    <t xml:space="preserve">III квартал </t>
  </si>
  <si>
    <t xml:space="preserve">I квартал </t>
  </si>
  <si>
    <t>Кеңсе қағазы А3</t>
  </si>
  <si>
    <t>Кеңсе қағазы А4</t>
  </si>
  <si>
    <t>Фирмалық бланктер</t>
  </si>
  <si>
    <t>ДИПФР</t>
  </si>
  <si>
    <t>ХҚЕС-на сәйкес бухгалтерлік есеп (ХҚЕС өзгерістері)</t>
  </si>
  <si>
    <t>Корпоративное управление</t>
  </si>
  <si>
    <t>Оценка бизнеса</t>
  </si>
  <si>
    <t>Внутренний аудит</t>
  </si>
  <si>
    <t>Корпоративтік басқару</t>
  </si>
  <si>
    <t>Бизнесті бағалау</t>
  </si>
  <si>
    <t>Ішкі аудит</t>
  </si>
  <si>
    <t>Салық бойынша семинар  (СҚ өзгеруі)</t>
  </si>
  <si>
    <t>Бухгалтерский учет в соответствии  с МСФО (изменения МСФО)</t>
  </si>
  <si>
    <t>Аренда транспорта
(для первого руководителя)</t>
  </si>
  <si>
    <t xml:space="preserve">Көлікті жалға алу (басшы үшін) </t>
  </si>
  <si>
    <t>Аренда микроавтобуса 
(для  хозяйственных нужд)</t>
  </si>
  <si>
    <t>Шағын автобусты жалға алу 
(шаруашылық мұқтаждар үшін)</t>
  </si>
  <si>
    <t>Администрирование  ATC до 100 абонентов</t>
  </si>
  <si>
    <t>Обслуживание и поддержка телефонных аппаратов</t>
  </si>
  <si>
    <t>100 абонентке дейін ATC басқару</t>
  </si>
  <si>
    <t>Телефон аппараттарына қызмет көрсету және қолдау көрсету</t>
  </si>
  <si>
    <t>Администрирование системы видеоконференцсвязи</t>
  </si>
  <si>
    <t>Business Trunk және Business Trunk нөмірлерін пайдалану</t>
  </si>
  <si>
    <t>Бейнеконференцбайланыс жүйесін әкімшілендіру</t>
  </si>
  <si>
    <t>Горячая линия (call center)</t>
  </si>
  <si>
    <t>Жедел байланыс (call center)</t>
  </si>
  <si>
    <t>Годовая подписка на  журнал "Файл бухгалтера"</t>
  </si>
  <si>
    <t>"Файл бухгалтер" журналына жылдық жазылу</t>
  </si>
  <si>
    <t>Изготовление визиток</t>
  </si>
  <si>
    <t>Визиткалар жасау</t>
  </si>
  <si>
    <t>Услуги по переводу</t>
  </si>
  <si>
    <t>Аударма бойынша қызметтер</t>
  </si>
  <si>
    <t>SIP маршрутизатор ISR4431-V/K9 (Voice Bundle)</t>
  </si>
  <si>
    <t>Маршрутизатор Cisco ISR4431/K9</t>
  </si>
  <si>
    <t>Компьютер в комплекте (Core i7-8700/DDR4 8Gb /SSD 256GB + HDD 1TB /Power Supply 750W/ Монитор 24’ Dell P2418D);</t>
  </si>
  <si>
    <t>Сервер 830585-425 HPE ProLiant DL160G9</t>
  </si>
  <si>
    <t>Сервер для виртуализации приложении и отказоустойчивости</t>
  </si>
  <si>
    <t>Система хранения данных (СХД)</t>
  </si>
  <si>
    <t>Коммутатор WS-C2960 48 портов</t>
  </si>
  <si>
    <t>Межсетевой экран ASA5516-Х</t>
  </si>
  <si>
    <t>SIP маршрутизаторы ISR4431-V/K9 (Voice Bundle)</t>
  </si>
  <si>
    <t>Cisco ISR4431/K9 маршрутизаторы</t>
  </si>
  <si>
    <t>Компьютер жиынтығымен (Core i7-8700/DDR4 8Gb /SSD 256GB + HDD 1TB /Power Supply 750W/ Монитор 24’ Dell P2418D);</t>
  </si>
  <si>
    <t>Қолданбалы виртуалдау және ақауларға төзімділік сервері</t>
  </si>
  <si>
    <t>Деректерді сақтау жүйесі (ДСЖ)</t>
  </si>
  <si>
    <t>WS-C2960 48 портты коммутатор</t>
  </si>
  <si>
    <t>Asa5516-Х желіаралық экран</t>
  </si>
  <si>
    <t>Windows Server 2016 Standard Edition</t>
  </si>
  <si>
    <t xml:space="preserve">Windows 10 Pro </t>
  </si>
  <si>
    <t>Windows Office Professional Plus</t>
  </si>
  <si>
    <t>Лицензионное ПО для работы веб-сайта CMS "1С-Битрикс: Управление сайтом"</t>
  </si>
  <si>
    <t>Разработка веб-сайта Фонда</t>
  </si>
  <si>
    <t>Стол</t>
  </si>
  <si>
    <t>Кресла</t>
  </si>
  <si>
    <t>Тумба</t>
  </si>
  <si>
    <t>Шкаф (металлический)</t>
  </si>
  <si>
    <t>Қордың веб-сайтын әзірлеу</t>
  </si>
  <si>
    <t>Үстел</t>
  </si>
  <si>
    <t>Креслолар</t>
  </si>
  <si>
    <t>Металлдан шкаф</t>
  </si>
  <si>
    <t>CMS «1С-Битрикс: Сайтты басқару» веб-сайтына арналған лицензиялық бағдарламалық қамтамасыз ету</t>
  </si>
  <si>
    <t>Абдрахманов Н.А.</t>
  </si>
  <si>
    <t>Алмасаева Н.К.</t>
  </si>
  <si>
    <t>Абдулдаева К.К.</t>
  </si>
  <si>
    <t>Карибаев А.Ю.</t>
  </si>
  <si>
    <t>Исп: Доненбаева Э.А.</t>
  </si>
  <si>
    <t>Начальник юридического отдела</t>
  </si>
  <si>
    <t xml:space="preserve">Начальник финансового отдела/Главный бухгалтер </t>
  </si>
  <si>
    <t>Заведующая   АХС</t>
  </si>
  <si>
    <t>Ивановская Г.С.</t>
  </si>
  <si>
    <t>Техническое  сопровождение и совершенствование ИС "БАТА"</t>
  </si>
  <si>
    <t>Аудиторские (внешний аудит) услуги</t>
  </si>
  <si>
    <t>Абдраманова М.Б.</t>
  </si>
  <si>
    <t>Имангалиева М.Н.</t>
  </si>
  <si>
    <t>№113 от 28 декабря 2018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</si>
</sst>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"/>
    <numFmt numFmtId="167" formatCode="00"/>
    <numFmt numFmtId="168" formatCode="#,##0.0"/>
    <numFmt numFmtId="169" formatCode="#,##0.00000"/>
    <numFmt numFmtId="170" formatCode="#,##0.000000"/>
    <numFmt numFmtId="171" formatCode="#,##0.00000000000000"/>
    <numFmt numFmtId="172" formatCode="#,##0.0000000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167" fontId="7" fillId="0" borderId="14">
      <alignment horizontal="center" vertical="top" wrapText="1"/>
    </xf>
    <xf numFmtId="1" fontId="7" fillId="0" borderId="0">
      <alignment horizontal="center" vertical="top" wrapText="1"/>
    </xf>
    <xf numFmtId="166" fontId="7" fillId="0" borderId="14">
      <alignment horizontal="center" vertical="top" wrapText="1"/>
    </xf>
    <xf numFmtId="166" fontId="7" fillId="0" borderId="14">
      <alignment horizontal="center" vertical="top" wrapText="1"/>
    </xf>
    <xf numFmtId="166" fontId="7" fillId="0" borderId="14">
      <alignment horizontal="center" vertical="top" wrapText="1"/>
    </xf>
    <xf numFmtId="1" fontId="7" fillId="0" borderId="0">
      <alignment horizontal="center" vertical="top" wrapText="1"/>
    </xf>
    <xf numFmtId="167" fontId="7" fillId="0" borderId="0">
      <alignment horizontal="center" vertical="top" wrapText="1"/>
    </xf>
    <xf numFmtId="166" fontId="7" fillId="0" borderId="0">
      <alignment horizontal="center" vertical="top" wrapText="1"/>
    </xf>
    <xf numFmtId="166" fontId="7" fillId="0" borderId="0">
      <alignment horizontal="center" vertical="top" wrapText="1"/>
    </xf>
    <xf numFmtId="166" fontId="7" fillId="0" borderId="0">
      <alignment horizontal="center" vertical="top" wrapText="1"/>
    </xf>
    <xf numFmtId="0" fontId="7" fillId="0" borderId="0">
      <alignment horizontal="left" vertical="top" wrapText="1"/>
    </xf>
    <xf numFmtId="0" fontId="7" fillId="0" borderId="0">
      <alignment horizontal="left" vertical="top" wrapText="1"/>
    </xf>
    <xf numFmtId="0" fontId="7" fillId="0" borderId="14">
      <alignment horizontal="left" vertical="top"/>
    </xf>
    <xf numFmtId="0" fontId="7" fillId="0" borderId="15">
      <alignment horizontal="center" vertical="top" wrapText="1"/>
    </xf>
    <xf numFmtId="0" fontId="7" fillId="0" borderId="0">
      <alignment horizontal="left" vertical="top"/>
    </xf>
    <xf numFmtId="0" fontId="7" fillId="0" borderId="13">
      <alignment horizontal="left" vertical="top"/>
    </xf>
    <xf numFmtId="0" fontId="11" fillId="4" borderId="14">
      <alignment horizontal="left" vertical="top" wrapText="1"/>
    </xf>
    <xf numFmtId="0" fontId="11" fillId="4" borderId="14">
      <alignment horizontal="left" vertical="top" wrapText="1"/>
    </xf>
    <xf numFmtId="0" fontId="8" fillId="0" borderId="14">
      <alignment horizontal="left" vertical="top" wrapText="1"/>
    </xf>
    <xf numFmtId="0" fontId="7" fillId="0" borderId="14">
      <alignment horizontal="left" vertical="top" wrapText="1"/>
    </xf>
    <xf numFmtId="0" fontId="12" fillId="0" borderId="14">
      <alignment horizontal="left" vertical="top" wrapText="1"/>
    </xf>
    <xf numFmtId="0" fontId="13" fillId="0" borderId="0"/>
    <xf numFmtId="0" fontId="15" fillId="0" borderId="0"/>
    <xf numFmtId="0" fontId="3" fillId="0" borderId="0"/>
    <xf numFmtId="0" fontId="9" fillId="0" borderId="0">
      <alignment horizontal="center" vertical="top"/>
    </xf>
    <xf numFmtId="0" fontId="7" fillId="0" borderId="16">
      <alignment horizontal="center" textRotation="90" wrapText="1"/>
    </xf>
    <xf numFmtId="0" fontId="7" fillId="0" borderId="16">
      <alignment horizontal="center" vertical="center" wrapText="1"/>
    </xf>
    <xf numFmtId="1" fontId="10" fillId="0" borderId="0">
      <alignment horizontal="center" vertical="top" wrapText="1"/>
    </xf>
    <xf numFmtId="167" fontId="10" fillId="0" borderId="14">
      <alignment horizontal="center" vertical="top" wrapText="1"/>
    </xf>
    <xf numFmtId="166" fontId="10" fillId="0" borderId="14">
      <alignment horizontal="center" vertical="top" wrapText="1"/>
    </xf>
    <xf numFmtId="166" fontId="10" fillId="0" borderId="14">
      <alignment horizontal="center" vertical="top" wrapText="1"/>
    </xf>
    <xf numFmtId="166" fontId="10" fillId="0" borderId="14">
      <alignment horizontal="center" vertical="top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165" fontId="3" fillId="0" borderId="0" applyFont="0" applyFill="0" applyBorder="0" applyAlignment="0" applyProtection="0"/>
  </cellStyleXfs>
  <cellXfs count="161">
    <xf numFmtId="0" fontId="0" fillId="0" borderId="0" xfId="0"/>
    <xf numFmtId="0" fontId="17" fillId="0" borderId="0" xfId="0" applyFont="1"/>
    <xf numFmtId="0" fontId="17" fillId="3" borderId="0" xfId="0" applyFont="1" applyFill="1"/>
    <xf numFmtId="0" fontId="17" fillId="3" borderId="0" xfId="0" applyFont="1" applyFill="1" applyAlignment="1">
      <alignment horizontal="center" vertical="center"/>
    </xf>
    <xf numFmtId="0" fontId="17" fillId="5" borderId="0" xfId="0" applyFont="1" applyFill="1"/>
    <xf numFmtId="0" fontId="0" fillId="0" borderId="0" xfId="0" applyBorder="1"/>
    <xf numFmtId="0" fontId="17" fillId="0" borderId="0" xfId="0" applyFont="1" applyFill="1"/>
    <xf numFmtId="49" fontId="2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1" applyFont="1" applyFill="1" applyBorder="1" applyAlignment="1" applyProtection="1">
      <alignment horizontal="center" vertical="center" wrapText="1"/>
      <protection locked="0"/>
    </xf>
    <xf numFmtId="0" fontId="20" fillId="0" borderId="7" xfId="1" applyFont="1" applyFill="1" applyBorder="1" applyAlignment="1" applyProtection="1">
      <alignment horizontal="center" vertical="center"/>
      <protection locked="0"/>
    </xf>
    <xf numFmtId="0" fontId="20" fillId="0" borderId="7" xfId="1" applyFont="1" applyFill="1" applyBorder="1" applyAlignment="1" applyProtection="1">
      <alignment horizontal="center" vertical="center" wrapText="1"/>
      <protection hidden="1"/>
    </xf>
    <xf numFmtId="2" fontId="20" fillId="0" borderId="7" xfId="1" applyNumberFormat="1" applyFont="1" applyFill="1" applyBorder="1" applyAlignment="1" applyProtection="1">
      <alignment horizontal="center" vertical="center"/>
      <protection locked="0"/>
    </xf>
    <xf numFmtId="4" fontId="20" fillId="0" borderId="7" xfId="1" applyNumberFormat="1" applyFont="1" applyFill="1" applyBorder="1" applyAlignment="1" applyProtection="1">
      <alignment horizontal="center" vertical="center"/>
      <protection locked="0"/>
    </xf>
    <xf numFmtId="4" fontId="20" fillId="0" borderId="7" xfId="1" applyNumberFormat="1" applyFont="1" applyFill="1" applyBorder="1" applyAlignment="1" applyProtection="1">
      <alignment horizontal="center" vertical="center"/>
      <protection hidden="1"/>
    </xf>
    <xf numFmtId="49" fontId="20" fillId="0" borderId="7" xfId="1" applyNumberFormat="1" applyFont="1" applyFill="1" applyBorder="1" applyAlignment="1" applyProtection="1">
      <alignment horizontal="center" vertical="center"/>
      <protection locked="0"/>
    </xf>
    <xf numFmtId="0" fontId="20" fillId="0" borderId="10" xfId="1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hidden="1"/>
    </xf>
    <xf numFmtId="2" fontId="20" fillId="0" borderId="7" xfId="0" applyNumberFormat="1" applyFont="1" applyFill="1" applyBorder="1" applyAlignment="1" applyProtection="1">
      <alignment horizontal="center" vertical="center"/>
      <protection locked="0"/>
    </xf>
    <xf numFmtId="4" fontId="20" fillId="0" borderId="7" xfId="0" applyNumberFormat="1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/>
    </xf>
    <xf numFmtId="49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 wrapText="1"/>
      <protection locked="0"/>
    </xf>
    <xf numFmtId="49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0" fillId="0" borderId="9" xfId="1" applyFont="1" applyFill="1" applyBorder="1" applyAlignment="1" applyProtection="1">
      <alignment horizontal="center" vertical="center"/>
      <protection locked="0"/>
    </xf>
    <xf numFmtId="0" fontId="20" fillId="0" borderId="19" xfId="1" applyFont="1" applyFill="1" applyBorder="1" applyAlignment="1" applyProtection="1">
      <alignment horizontal="center" vertical="center"/>
      <protection locked="0"/>
    </xf>
    <xf numFmtId="0" fontId="20" fillId="0" borderId="23" xfId="1" applyFont="1" applyFill="1" applyBorder="1" applyAlignment="1" applyProtection="1">
      <alignment horizontal="center" vertical="center"/>
      <protection locked="0"/>
    </xf>
    <xf numFmtId="4" fontId="20" fillId="3" borderId="7" xfId="1" applyNumberFormat="1" applyFont="1" applyFill="1" applyBorder="1" applyAlignment="1" applyProtection="1">
      <alignment horizontal="center" vertical="center"/>
      <protection locked="0"/>
    </xf>
    <xf numFmtId="49" fontId="20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20" fillId="3" borderId="7" xfId="1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4" fillId="2" borderId="24" xfId="2" applyFont="1" applyFill="1" applyBorder="1" applyAlignment="1" applyProtection="1">
      <alignment horizontal="center" vertical="center" wrapText="1"/>
      <protection locked="0"/>
    </xf>
    <xf numFmtId="0" fontId="4" fillId="2" borderId="26" xfId="2" applyFont="1" applyFill="1" applyBorder="1" applyAlignment="1" applyProtection="1">
      <alignment horizontal="center" vertical="center" wrapText="1"/>
      <protection locked="0"/>
    </xf>
    <xf numFmtId="49" fontId="4" fillId="2" borderId="25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4" fillId="2" borderId="7" xfId="2" applyFont="1" applyFill="1" applyBorder="1" applyAlignment="1" applyProtection="1">
      <alignment horizontal="center" vertical="center" wrapText="1"/>
      <protection hidden="1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7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1" applyFont="1" applyFill="1" applyBorder="1" applyAlignment="1" applyProtection="1">
      <alignment horizontal="center" vertical="center"/>
      <protection locked="0"/>
    </xf>
    <xf numFmtId="49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0" fillId="3" borderId="20" xfId="1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hidden="1"/>
    </xf>
    <xf numFmtId="2" fontId="20" fillId="0" borderId="20" xfId="0" applyNumberFormat="1" applyFont="1" applyFill="1" applyBorder="1" applyAlignment="1" applyProtection="1">
      <alignment horizontal="center" vertical="center"/>
      <protection locked="0"/>
    </xf>
    <xf numFmtId="4" fontId="20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3" borderId="28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49" fontId="20" fillId="0" borderId="20" xfId="0" applyNumberFormat="1" applyFont="1" applyFill="1" applyBorder="1" applyAlignment="1" applyProtection="1">
      <alignment horizontal="center" vertical="center"/>
      <protection locked="0"/>
    </xf>
    <xf numFmtId="49" fontId="20" fillId="5" borderId="7" xfId="1" applyNumberFormat="1" applyFont="1" applyFill="1" applyBorder="1" applyAlignment="1" applyProtection="1">
      <alignment horizontal="center" vertical="center"/>
      <protection locked="0"/>
    </xf>
    <xf numFmtId="4" fontId="20" fillId="6" borderId="7" xfId="1" applyNumberFormat="1" applyFont="1" applyFill="1" applyBorder="1" applyAlignment="1" applyProtection="1">
      <alignment horizontal="center" vertical="center"/>
      <protection hidden="1"/>
    </xf>
    <xf numFmtId="4" fontId="20" fillId="6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/>
    <xf numFmtId="49" fontId="20" fillId="6" borderId="7" xfId="1" applyNumberFormat="1" applyFont="1" applyFill="1" applyBorder="1" applyAlignment="1" applyProtection="1">
      <alignment horizontal="center" vertical="center"/>
      <protection locked="0"/>
    </xf>
    <xf numFmtId="49" fontId="20" fillId="6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>
      <alignment horizontal="center" vertical="center"/>
    </xf>
    <xf numFmtId="49" fontId="20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2" applyFont="1" applyFill="1" applyBorder="1" applyAlignment="1" applyProtection="1">
      <alignment horizontal="center" vertical="center" wrapText="1"/>
      <protection locked="0"/>
    </xf>
    <xf numFmtId="4" fontId="4" fillId="2" borderId="2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22" xfId="2" applyFont="1" applyFill="1" applyBorder="1" applyAlignment="1" applyProtection="1">
      <alignment horizontal="center" vertical="center" wrapText="1"/>
      <protection locked="0"/>
    </xf>
    <xf numFmtId="4" fontId="20" fillId="0" borderId="20" xfId="1" applyNumberFormat="1" applyFont="1" applyFill="1" applyBorder="1" applyAlignment="1" applyProtection="1">
      <alignment horizontal="center" vertical="center"/>
      <protection locked="0"/>
    </xf>
    <xf numFmtId="4" fontId="18" fillId="0" borderId="0" xfId="0" applyNumberFormat="1" applyFont="1"/>
    <xf numFmtId="0" fontId="19" fillId="0" borderId="0" xfId="0" applyFont="1" applyAlignment="1">
      <alignment wrapText="1"/>
    </xf>
    <xf numFmtId="0" fontId="0" fillId="0" borderId="0" xfId="0"/>
    <xf numFmtId="0" fontId="21" fillId="3" borderId="0" xfId="0" applyFont="1" applyFill="1" applyAlignment="1">
      <alignment horizontal="center" vertical="center" wrapText="1"/>
    </xf>
    <xf numFmtId="49" fontId="20" fillId="0" borderId="0" xfId="1" applyNumberFormat="1" applyFont="1" applyFill="1" applyBorder="1" applyAlignment="1" applyProtection="1">
      <alignment vertical="center" wrapText="1"/>
      <protection locked="0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Border="1" applyAlignment="1" applyProtection="1">
      <alignment horizontal="center" vertical="center" wrapText="1"/>
      <protection hidden="1"/>
    </xf>
    <xf numFmtId="2" fontId="20" fillId="0" borderId="0" xfId="1" applyNumberFormat="1" applyFont="1" applyFill="1" applyBorder="1" applyAlignment="1" applyProtection="1">
      <alignment horizontal="center" vertical="center"/>
      <protection locked="0"/>
    </xf>
    <xf numFmtId="4" fontId="20" fillId="0" borderId="0" xfId="1" applyNumberFormat="1" applyFont="1" applyFill="1" applyBorder="1" applyAlignment="1" applyProtection="1">
      <alignment horizontal="center" vertical="center"/>
      <protection locked="0"/>
    </xf>
    <xf numFmtId="4" fontId="20" fillId="0" borderId="0" xfId="1" applyNumberFormat="1" applyFont="1" applyFill="1" applyBorder="1" applyAlignment="1" applyProtection="1">
      <alignment horizontal="center" vertical="center"/>
      <protection hidden="1"/>
    </xf>
    <xf numFmtId="49" fontId="20" fillId="0" borderId="0" xfId="1" applyNumberFormat="1" applyFont="1" applyFill="1" applyBorder="1" applyAlignment="1" applyProtection="1">
      <alignment horizontal="center" vertical="center"/>
      <protection locked="0"/>
    </xf>
    <xf numFmtId="49" fontId="20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2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1" applyFont="1" applyFill="1" applyBorder="1" applyAlignment="1" applyProtection="1">
      <alignment horizontal="center" vertical="center"/>
      <protection locked="0"/>
    </xf>
    <xf numFmtId="0" fontId="20" fillId="0" borderId="18" xfId="1" applyFont="1" applyFill="1" applyBorder="1" applyAlignment="1" applyProtection="1">
      <alignment horizontal="center" vertical="center"/>
      <protection locked="0"/>
    </xf>
    <xf numFmtId="49" fontId="20" fillId="0" borderId="18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18" xfId="1" applyFont="1" applyFill="1" applyBorder="1" applyAlignment="1" applyProtection="1">
      <alignment horizontal="center" vertical="center" wrapText="1"/>
      <protection locked="0"/>
    </xf>
    <xf numFmtId="0" fontId="20" fillId="0" borderId="18" xfId="1" applyFont="1" applyFill="1" applyBorder="1" applyAlignment="1" applyProtection="1">
      <alignment horizontal="center" vertical="center" wrapText="1"/>
      <protection hidden="1"/>
    </xf>
    <xf numFmtId="2" fontId="20" fillId="0" borderId="18" xfId="1" applyNumberFormat="1" applyFont="1" applyFill="1" applyBorder="1" applyAlignment="1" applyProtection="1">
      <alignment horizontal="center" vertical="center"/>
      <protection locked="0"/>
    </xf>
    <xf numFmtId="4" fontId="20" fillId="0" borderId="18" xfId="1" applyNumberFormat="1" applyFont="1" applyFill="1" applyBorder="1" applyAlignment="1" applyProtection="1">
      <alignment horizontal="center" vertical="center"/>
      <protection locked="0"/>
    </xf>
    <xf numFmtId="4" fontId="20" fillId="0" borderId="18" xfId="1" applyNumberFormat="1" applyFont="1" applyFill="1" applyBorder="1" applyAlignment="1" applyProtection="1">
      <alignment horizontal="center" vertical="center"/>
      <protection hidden="1"/>
    </xf>
    <xf numFmtId="4" fontId="20" fillId="0" borderId="11" xfId="1" applyNumberFormat="1" applyFont="1" applyFill="1" applyBorder="1" applyAlignment="1" applyProtection="1">
      <alignment horizontal="center" vertical="center"/>
      <protection hidden="1"/>
    </xf>
    <xf numFmtId="0" fontId="4" fillId="2" borderId="33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49" fontId="4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wrapText="1"/>
    </xf>
    <xf numFmtId="0" fontId="17" fillId="0" borderId="0" xfId="0" applyFont="1" applyFill="1" applyAlignment="1">
      <alignment wrapText="1"/>
    </xf>
    <xf numFmtId="49" fontId="20" fillId="0" borderId="10" xfId="1" applyNumberFormat="1" applyFont="1" applyFill="1" applyBorder="1" applyAlignment="1" applyProtection="1">
      <alignment horizontal="center" vertical="center"/>
      <protection locked="0"/>
    </xf>
    <xf numFmtId="49" fontId="2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4" fontId="20" fillId="0" borderId="11" xfId="0" applyNumberFormat="1" applyFont="1" applyFill="1" applyBorder="1" applyAlignment="1" applyProtection="1">
      <alignment horizontal="center" vertical="center"/>
      <protection locked="0"/>
    </xf>
    <xf numFmtId="49" fontId="20" fillId="0" borderId="0" xfId="1" applyNumberFormat="1" applyFont="1" applyFill="1" applyBorder="1" applyAlignment="1" applyProtection="1">
      <alignment horizontal="left" vertical="center" wrapText="1"/>
      <protection locked="0"/>
    </xf>
    <xf numFmtId="168" fontId="23" fillId="0" borderId="7" xfId="0" applyNumberFormat="1" applyFont="1" applyFill="1" applyBorder="1" applyAlignment="1">
      <alignment horizontal="center" vertical="center"/>
    </xf>
    <xf numFmtId="4" fontId="17" fillId="0" borderId="0" xfId="0" applyNumberFormat="1" applyFont="1" applyBorder="1"/>
    <xf numFmtId="0" fontId="22" fillId="0" borderId="35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vertical="top" wrapText="1"/>
    </xf>
    <xf numFmtId="169" fontId="20" fillId="0" borderId="11" xfId="1" applyNumberFormat="1" applyFont="1" applyFill="1" applyBorder="1" applyAlignment="1" applyProtection="1">
      <alignment horizontal="center" vertical="center"/>
      <protection hidden="1"/>
    </xf>
    <xf numFmtId="49" fontId="20" fillId="0" borderId="34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>
      <alignment vertical="center" wrapText="1"/>
    </xf>
    <xf numFmtId="170" fontId="20" fillId="0" borderId="7" xfId="1" applyNumberFormat="1" applyFont="1" applyFill="1" applyBorder="1" applyAlignment="1" applyProtection="1">
      <alignment horizontal="center" vertical="center"/>
      <protection hidden="1"/>
    </xf>
    <xf numFmtId="171" fontId="20" fillId="0" borderId="11" xfId="1" applyNumberFormat="1" applyFont="1" applyFill="1" applyBorder="1" applyAlignment="1" applyProtection="1">
      <alignment horizontal="center" vertical="center"/>
      <protection hidden="1"/>
    </xf>
    <xf numFmtId="172" fontId="20" fillId="0" borderId="7" xfId="1" applyNumberFormat="1" applyFont="1" applyFill="1" applyBorder="1" applyAlignment="1" applyProtection="1">
      <alignment horizontal="center" vertical="center"/>
      <protection hidden="1"/>
    </xf>
    <xf numFmtId="170" fontId="20" fillId="0" borderId="11" xfId="1" applyNumberFormat="1" applyFont="1" applyFill="1" applyBorder="1" applyAlignment="1" applyProtection="1">
      <alignment horizontal="center" vertical="center"/>
      <protection hidden="1"/>
    </xf>
    <xf numFmtId="49" fontId="20" fillId="0" borderId="12" xfId="1" applyNumberFormat="1" applyFont="1" applyFill="1" applyBorder="1" applyAlignment="1" applyProtection="1">
      <alignment horizontal="center" vertical="center"/>
      <protection locked="0"/>
    </xf>
    <xf numFmtId="170" fontId="20" fillId="0" borderId="18" xfId="1" applyNumberFormat="1" applyFont="1" applyFill="1" applyBorder="1" applyAlignment="1" applyProtection="1">
      <alignment horizontal="center" vertical="center"/>
      <protection hidden="1"/>
    </xf>
    <xf numFmtId="49" fontId="20" fillId="0" borderId="2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9" xfId="2" applyFont="1" applyFill="1" applyBorder="1" applyAlignment="1" applyProtection="1">
      <alignment horizontal="center" vertical="center" wrapText="1"/>
      <protection locked="0"/>
    </xf>
    <xf numFmtId="0" fontId="4" fillId="2" borderId="21" xfId="2" applyFont="1" applyFill="1" applyBorder="1" applyAlignment="1" applyProtection="1">
      <alignment horizontal="center" vertical="center" wrapText="1"/>
      <protection locked="0"/>
    </xf>
    <xf numFmtId="0" fontId="4" fillId="2" borderId="20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hidden="1"/>
    </xf>
    <xf numFmtId="0" fontId="4" fillId="2" borderId="4" xfId="2" applyFont="1" applyFill="1" applyBorder="1" applyAlignment="1" applyProtection="1">
      <alignment horizontal="center" vertical="center" wrapText="1"/>
      <protection hidden="1"/>
    </xf>
    <xf numFmtId="4" fontId="4" fillId="2" borderId="2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4" xfId="2" applyNumberFormat="1" applyFont="1" applyFill="1" applyBorder="1" applyAlignment="1" applyProtection="1">
      <alignment horizontal="center" vertical="center" wrapText="1"/>
      <protection hidden="1"/>
    </xf>
    <xf numFmtId="1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49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wrapText="1"/>
    </xf>
    <xf numFmtId="1" fontId="4" fillId="2" borderId="29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30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31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32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29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30" xfId="2" applyNumberFormat="1" applyFont="1" applyFill="1" applyBorder="1" applyAlignment="1" applyProtection="1">
      <alignment horizontal="center" vertical="center" wrapText="1"/>
      <protection hidden="1"/>
    </xf>
    <xf numFmtId="49" fontId="4" fillId="2" borderId="29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30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29" xfId="2" applyFont="1" applyFill="1" applyBorder="1" applyAlignment="1" applyProtection="1">
      <alignment horizontal="center" vertical="center" wrapText="1"/>
      <protection locked="0"/>
    </xf>
    <xf numFmtId="0" fontId="4" fillId="2" borderId="30" xfId="2" applyFont="1" applyFill="1" applyBorder="1" applyAlignment="1" applyProtection="1">
      <alignment horizontal="center" vertical="center" wrapText="1"/>
      <protection locked="0"/>
    </xf>
    <xf numFmtId="0" fontId="4" fillId="2" borderId="31" xfId="2" applyFont="1" applyFill="1" applyBorder="1" applyAlignment="1" applyProtection="1">
      <alignment horizontal="center" vertical="center" wrapText="1"/>
      <protection locked="0"/>
    </xf>
    <xf numFmtId="0" fontId="4" fillId="2" borderId="32" xfId="2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2" borderId="31" xfId="2" applyFont="1" applyFill="1" applyBorder="1" applyAlignment="1" applyProtection="1">
      <alignment horizontal="center" vertical="center" wrapText="1"/>
      <protection hidden="1"/>
    </xf>
    <xf numFmtId="0" fontId="4" fillId="2" borderId="32" xfId="2" applyFont="1" applyFill="1" applyBorder="1" applyAlignment="1" applyProtection="1">
      <alignment horizontal="center" vertical="center" wrapText="1"/>
      <protection hidden="1"/>
    </xf>
  </cellXfs>
  <cellStyles count="75">
    <cellStyle name="Cell1" xfId="5"/>
    <cellStyle name="Cell2" xfId="4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Денежный 2" xfId="67"/>
    <cellStyle name="КАНДАГАЧ тел3-33-96" xfId="36"/>
    <cellStyle name="Обычный" xfId="0" builtinId="0"/>
    <cellStyle name="Обычный 10" xfId="37"/>
    <cellStyle name="Обычный 11" xfId="38"/>
    <cellStyle name="Обычный 12" xfId="39"/>
    <cellStyle name="Обычный 14" xfId="40"/>
    <cellStyle name="Обычный 15" xfId="41"/>
    <cellStyle name="Обычный 16" xfId="42"/>
    <cellStyle name="Обычный 17" xfId="43"/>
    <cellStyle name="Обычный 18" xfId="44"/>
    <cellStyle name="Обычный 19" xfId="45"/>
    <cellStyle name="Обычный 2" xfId="2"/>
    <cellStyle name="Обычный 2 2" xfId="46"/>
    <cellStyle name="Обычный 20" xfId="47"/>
    <cellStyle name="Обычный 24" xfId="48"/>
    <cellStyle name="Обычный 26" xfId="49"/>
    <cellStyle name="Обычный 26 2" xfId="50"/>
    <cellStyle name="Обычный 3" xfId="1"/>
    <cellStyle name="Обычный 3 2" xfId="51"/>
    <cellStyle name="Обычный 3 3" xfId="73"/>
    <cellStyle name="Обычный 3 4" xfId="52"/>
    <cellStyle name="Обычный 32" xfId="53"/>
    <cellStyle name="Обычный 33" xfId="54"/>
    <cellStyle name="Обычный 34" xfId="55"/>
    <cellStyle name="Обычный 35" xfId="56"/>
    <cellStyle name="Обычный 4" xfId="57"/>
    <cellStyle name="Обычный 4 5" xfId="58"/>
    <cellStyle name="Обычный 5" xfId="72"/>
    <cellStyle name="Обычный 7" xfId="59"/>
    <cellStyle name="Обычный 7 6" xfId="60"/>
    <cellStyle name="Обычный 7 7" xfId="61"/>
    <cellStyle name="Обычный 8" xfId="62"/>
    <cellStyle name="Обычный 9 8" xfId="63"/>
    <cellStyle name="Обычный 9 9" xfId="64"/>
    <cellStyle name="Процентный 2" xfId="69"/>
    <cellStyle name="Процентный 3" xfId="68"/>
    <cellStyle name="Стиль 1" xfId="65"/>
    <cellStyle name="Стиль 1 2" xfId="66"/>
    <cellStyle name="Финансовый 2" xfId="3"/>
    <cellStyle name="Финансовый 2 2" xfId="70"/>
    <cellStyle name="Финансовый 3" xfId="71"/>
    <cellStyle name="Финансовый 4" xfId="74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AppData/Local/Microsoft/Windows/Temporary%20Internet%20Files/Content.Outlook/VXEMQXNN/&#1050;&#1086;&#1087;&#1080;&#1103;%20&#1064;&#1072;&#1073;&#1083;&#1086;&#1085;%20&#1087;&#1083;&#1072;&#1085;&#1072;%20&#1043;&#1047;_ru_v47_2013-2014%20&#1075;&#1086;&#1076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2\AppData\Local\Microsoft\Windows\Temporary%20Internet%20Files\Content.Outlook\VXEMQXNN\&#1050;&#1086;&#1087;&#1080;&#1103;%20&#1064;&#1072;&#1073;&#1083;&#1086;&#1085;%20&#1087;&#1083;&#1072;&#1085;&#1072;%20&#1043;&#1047;_ru_v47_2013-2014%20&#1075;&#1086;&#1076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</sheetData>
      <sheetData sheetId="3"/>
      <sheetData sheetId="4">
        <row r="1">
          <cell r="A1" t="str">
            <v>111 Оплата труда</v>
          </cell>
        </row>
      </sheetData>
      <sheetData sheetId="5">
        <row r="1">
          <cell r="A1" t="str">
            <v>1 Бюджет</v>
          </cell>
        </row>
      </sheetData>
      <sheetData sheetId="6">
        <row r="1">
          <cell r="A1" t="str">
            <v>01 Конкурс</v>
          </cell>
        </row>
      </sheetData>
      <sheetData sheetId="7">
        <row r="1">
          <cell r="A1" t="str">
            <v>Товар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</sheetData>
      <sheetData sheetId="11">
        <row r="2">
          <cell r="A2" t="str">
            <v>110000000</v>
          </cell>
        </row>
      </sheetData>
      <sheetData sheetId="12">
        <row r="2">
          <cell r="A2" t="str">
            <v>101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N59"/>
  <sheetViews>
    <sheetView topLeftCell="A4" zoomScale="50" zoomScaleNormal="50" workbookViewId="0">
      <selection activeCell="T18" sqref="T18"/>
    </sheetView>
  </sheetViews>
  <sheetFormatPr defaultRowHeight="15"/>
  <cols>
    <col min="1" max="1" width="6" customWidth="1"/>
    <col min="2" max="2" width="17.140625" hidden="1" customWidth="1"/>
    <col min="3" max="3" width="14.28515625" hidden="1" customWidth="1"/>
    <col min="4" max="4" width="27" hidden="1" customWidth="1"/>
    <col min="5" max="5" width="27.42578125" hidden="1" customWidth="1"/>
    <col min="6" max="6" width="27.7109375" hidden="1" customWidth="1"/>
    <col min="7" max="7" width="40.140625" customWidth="1"/>
    <col min="8" max="8" width="21.42578125" customWidth="1"/>
    <col min="9" max="9" width="16" customWidth="1"/>
    <col min="10" max="10" width="14.140625" customWidth="1"/>
    <col min="11" max="11" width="20.7109375" customWidth="1"/>
    <col min="12" max="12" width="18.85546875" customWidth="1"/>
    <col min="13" max="27" width="17.28515625" customWidth="1"/>
    <col min="28" max="28" width="15.85546875" customWidth="1"/>
    <col min="29" max="29" width="18.140625" customWidth="1"/>
    <col min="30" max="30" width="12.42578125" customWidth="1"/>
    <col min="31" max="31" width="17.85546875" customWidth="1"/>
    <col min="32" max="32" width="12.140625" customWidth="1"/>
    <col min="33" max="33" width="10.5703125" customWidth="1"/>
    <col min="36" max="37" width="9.7109375" bestFit="1" customWidth="1"/>
  </cols>
  <sheetData>
    <row r="2" spans="1:456" ht="15.75">
      <c r="AC2" s="26" t="s">
        <v>63</v>
      </c>
      <c r="AD2" s="26"/>
    </row>
    <row r="3" spans="1:456" ht="15.75">
      <c r="AC3" s="26" t="s">
        <v>89</v>
      </c>
      <c r="AD3" s="26"/>
    </row>
    <row r="6" spans="1:456" ht="18.75">
      <c r="A6" s="119" t="s">
        <v>68</v>
      </c>
      <c r="B6" s="119"/>
      <c r="C6" s="119"/>
      <c r="D6" s="120"/>
      <c r="E6" s="120"/>
      <c r="F6" s="120"/>
      <c r="G6" s="120"/>
      <c r="H6" s="120"/>
      <c r="I6" s="120"/>
      <c r="J6" s="120"/>
      <c r="K6" s="120"/>
    </row>
    <row r="7" spans="1:456" ht="15.75" thickBot="1"/>
    <row r="8" spans="1:456" ht="53.45" customHeight="1" thickBot="1">
      <c r="C8" s="23" t="s">
        <v>44</v>
      </c>
      <c r="D8" s="23" t="s">
        <v>54</v>
      </c>
      <c r="E8" s="25" t="s">
        <v>0</v>
      </c>
      <c r="F8" s="24" t="s">
        <v>69</v>
      </c>
    </row>
    <row r="9" spans="1:456" ht="15.75" thickBot="1"/>
    <row r="10" spans="1:456" s="1" customFormat="1" ht="12" customHeight="1">
      <c r="A10" s="121" t="s">
        <v>1</v>
      </c>
      <c r="B10" s="123" t="s">
        <v>90</v>
      </c>
      <c r="C10" s="125" t="s">
        <v>2</v>
      </c>
      <c r="D10" s="125" t="s">
        <v>46</v>
      </c>
      <c r="E10" s="125" t="s">
        <v>47</v>
      </c>
      <c r="F10" s="125" t="s">
        <v>48</v>
      </c>
      <c r="G10" s="125" t="s">
        <v>49</v>
      </c>
      <c r="H10" s="125" t="s">
        <v>3</v>
      </c>
      <c r="I10" s="128" t="s">
        <v>50</v>
      </c>
      <c r="J10" s="132" t="s">
        <v>4</v>
      </c>
      <c r="K10" s="132" t="s">
        <v>5</v>
      </c>
      <c r="L10" s="130" t="s">
        <v>6</v>
      </c>
      <c r="M10" s="134" t="s">
        <v>7</v>
      </c>
      <c r="N10" s="134" t="s">
        <v>51</v>
      </c>
      <c r="O10" s="134" t="s">
        <v>52</v>
      </c>
      <c r="P10" s="134" t="s">
        <v>102</v>
      </c>
      <c r="Q10" s="130" t="s">
        <v>101</v>
      </c>
      <c r="R10" s="130" t="s">
        <v>100</v>
      </c>
      <c r="S10" s="130" t="s">
        <v>103</v>
      </c>
      <c r="T10" s="130" t="s">
        <v>104</v>
      </c>
      <c r="U10" s="130"/>
      <c r="V10" s="130"/>
      <c r="W10" s="130"/>
      <c r="X10" s="130" t="s">
        <v>87</v>
      </c>
      <c r="Y10" s="67"/>
      <c r="Z10" s="130" t="s">
        <v>98</v>
      </c>
      <c r="AA10" s="130" t="s">
        <v>99</v>
      </c>
      <c r="AB10" s="137" t="s">
        <v>8</v>
      </c>
      <c r="AC10" s="137" t="s">
        <v>9</v>
      </c>
      <c r="AD10" s="139" t="s">
        <v>10</v>
      </c>
    </row>
    <row r="11" spans="1:456" s="1" customFormat="1" ht="121.15" customHeight="1">
      <c r="A11" s="122"/>
      <c r="B11" s="124"/>
      <c r="C11" s="126"/>
      <c r="D11" s="126"/>
      <c r="E11" s="126"/>
      <c r="F11" s="126"/>
      <c r="G11" s="127"/>
      <c r="H11" s="127"/>
      <c r="I11" s="129"/>
      <c r="J11" s="133"/>
      <c r="K11" s="133"/>
      <c r="L11" s="131"/>
      <c r="M11" s="135"/>
      <c r="N11" s="135" t="s">
        <v>51</v>
      </c>
      <c r="O11" s="135"/>
      <c r="P11" s="135"/>
      <c r="Q11" s="131"/>
      <c r="R11" s="131"/>
      <c r="S11" s="131"/>
      <c r="T11" s="131"/>
      <c r="U11" s="131"/>
      <c r="V11" s="131"/>
      <c r="W11" s="131"/>
      <c r="X11" s="131"/>
      <c r="Y11" s="68"/>
      <c r="Z11" s="131"/>
      <c r="AA11" s="131"/>
      <c r="AB11" s="138"/>
      <c r="AC11" s="138"/>
      <c r="AD11" s="140"/>
    </row>
    <row r="12" spans="1:456" s="1" customFormat="1" ht="19.149999999999999" customHeight="1">
      <c r="A12" s="38"/>
      <c r="B12" s="38"/>
      <c r="C12" s="39"/>
      <c r="D12" s="39"/>
      <c r="E12" s="39"/>
      <c r="F12" s="39"/>
      <c r="G12" s="38"/>
      <c r="H12" s="38"/>
      <c r="I12" s="40"/>
      <c r="J12" s="41"/>
      <c r="K12" s="41"/>
      <c r="L12" s="42"/>
      <c r="M12" s="43"/>
      <c r="N12" s="43"/>
      <c r="O12" s="43"/>
      <c r="P12" s="43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4"/>
      <c r="AC12" s="44"/>
      <c r="AD12" s="41"/>
    </row>
    <row r="13" spans="1:456" s="1" customFormat="1" ht="21" customHeight="1" thickBot="1">
      <c r="A13" s="36">
        <v>0</v>
      </c>
      <c r="B13" s="35">
        <v>1</v>
      </c>
      <c r="C13" s="66">
        <v>2</v>
      </c>
      <c r="D13" s="66">
        <v>3</v>
      </c>
      <c r="E13" s="66">
        <v>4</v>
      </c>
      <c r="F13" s="66">
        <v>5</v>
      </c>
      <c r="G13" s="66">
        <v>6</v>
      </c>
      <c r="H13" s="66">
        <v>7</v>
      </c>
      <c r="I13" s="66">
        <v>8</v>
      </c>
      <c r="J13" s="66">
        <v>9</v>
      </c>
      <c r="K13" s="66">
        <v>10</v>
      </c>
      <c r="L13" s="66">
        <v>11</v>
      </c>
      <c r="M13" s="66">
        <v>12</v>
      </c>
      <c r="N13" s="66">
        <v>13</v>
      </c>
      <c r="O13" s="66">
        <v>14</v>
      </c>
      <c r="P13" s="66"/>
      <c r="Q13" s="66"/>
      <c r="R13" s="66"/>
      <c r="S13" s="66"/>
      <c r="T13" s="66"/>
      <c r="U13" s="66"/>
      <c r="V13" s="66"/>
      <c r="W13" s="66"/>
      <c r="X13" s="66"/>
      <c r="Y13" s="69"/>
      <c r="Z13" s="66"/>
      <c r="AA13" s="66"/>
      <c r="AB13" s="66">
        <v>15</v>
      </c>
      <c r="AC13" s="66">
        <v>16</v>
      </c>
      <c r="AD13" s="37" t="s">
        <v>91</v>
      </c>
    </row>
    <row r="14" spans="1:456" s="4" customFormat="1" ht="126">
      <c r="A14" s="27">
        <v>3</v>
      </c>
      <c r="B14" s="29" t="s">
        <v>92</v>
      </c>
      <c r="C14" s="7" t="s">
        <v>11</v>
      </c>
      <c r="D14" s="7" t="s">
        <v>14</v>
      </c>
      <c r="E14" s="7" t="s">
        <v>14</v>
      </c>
      <c r="F14" s="7" t="s">
        <v>15</v>
      </c>
      <c r="G14" s="7" t="s">
        <v>16</v>
      </c>
      <c r="H14" s="8" t="s">
        <v>53</v>
      </c>
      <c r="I14" s="10" t="s">
        <v>12</v>
      </c>
      <c r="J14" s="11">
        <v>1</v>
      </c>
      <c r="K14" s="12">
        <f>22840755.84/1.12</f>
        <v>20393531.999999996</v>
      </c>
      <c r="L14" s="13">
        <f>K14</f>
        <v>20393531.999999996</v>
      </c>
      <c r="M14" s="9"/>
      <c r="N14" s="9"/>
      <c r="O14" s="9"/>
      <c r="P14" s="9"/>
      <c r="Q14" s="12">
        <f>-(10178.57+66964.29)</f>
        <v>-77142.859999999986</v>
      </c>
      <c r="R14" s="12"/>
      <c r="S14" s="12"/>
      <c r="T14" s="12"/>
      <c r="U14" s="12"/>
      <c r="V14" s="12"/>
      <c r="W14" s="12"/>
      <c r="X14" s="12">
        <f>L14+Q14</f>
        <v>20316389.139999997</v>
      </c>
      <c r="Y14" s="12"/>
      <c r="Z14" s="12"/>
      <c r="AA14" s="12"/>
      <c r="AB14" s="61" t="s">
        <v>130</v>
      </c>
      <c r="AC14" s="14" t="s">
        <v>13</v>
      </c>
      <c r="AD14" s="15">
        <v>5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</row>
    <row r="15" spans="1:456" s="4" customFormat="1" ht="41.45" customHeight="1">
      <c r="A15" s="27">
        <v>4</v>
      </c>
      <c r="B15" s="29" t="s">
        <v>92</v>
      </c>
      <c r="C15" s="7" t="s">
        <v>17</v>
      </c>
      <c r="D15" s="7" t="s">
        <v>84</v>
      </c>
      <c r="E15" s="7" t="s">
        <v>84</v>
      </c>
      <c r="F15" s="7" t="s">
        <v>20</v>
      </c>
      <c r="G15" s="7" t="s">
        <v>21</v>
      </c>
      <c r="H15" s="8" t="s">
        <v>53</v>
      </c>
      <c r="I15" s="10" t="s">
        <v>18</v>
      </c>
      <c r="J15" s="11">
        <v>80</v>
      </c>
      <c r="K15" s="30">
        <f>32510.6999/1.12</f>
        <v>29027.410624999997</v>
      </c>
      <c r="L15" s="13">
        <f t="shared" ref="L15:L23" si="0">J15*K15</f>
        <v>2322192.8499999996</v>
      </c>
      <c r="M15" s="9"/>
      <c r="N15" s="9"/>
      <c r="O15" s="9"/>
      <c r="P15" s="9"/>
      <c r="Q15" s="9"/>
      <c r="R15" s="9"/>
      <c r="S15" s="9"/>
      <c r="T15" s="9"/>
      <c r="U15" s="12">
        <v>-2322192.85</v>
      </c>
      <c r="V15" s="12"/>
      <c r="W15" s="12"/>
      <c r="X15" s="9"/>
      <c r="Y15" s="9"/>
      <c r="Z15" s="9"/>
      <c r="AA15" s="9"/>
      <c r="AB15" s="60" t="s">
        <v>34</v>
      </c>
      <c r="AC15" s="14" t="s">
        <v>13</v>
      </c>
      <c r="AD15" s="15">
        <v>5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</row>
    <row r="16" spans="1:456" s="4" customFormat="1" ht="60" customHeight="1">
      <c r="A16" s="27">
        <v>5</v>
      </c>
      <c r="B16" s="29" t="s">
        <v>92</v>
      </c>
      <c r="C16" s="7" t="s">
        <v>17</v>
      </c>
      <c r="D16" s="7" t="s">
        <v>71</v>
      </c>
      <c r="E16" s="7" t="s">
        <v>71</v>
      </c>
      <c r="F16" s="7" t="s">
        <v>74</v>
      </c>
      <c r="G16" s="7" t="s">
        <v>71</v>
      </c>
      <c r="H16" s="8" t="s">
        <v>53</v>
      </c>
      <c r="I16" s="10" t="s">
        <v>18</v>
      </c>
      <c r="J16" s="11">
        <v>100</v>
      </c>
      <c r="K16" s="12">
        <f>27000/1.12</f>
        <v>24107.142857142855</v>
      </c>
      <c r="L16" s="13">
        <f t="shared" si="0"/>
        <v>2410714.2857142854</v>
      </c>
      <c r="M16" s="9"/>
      <c r="N16" s="9"/>
      <c r="O16" s="9"/>
      <c r="P16" s="9"/>
      <c r="Q16" s="9"/>
      <c r="R16" s="9"/>
      <c r="S16" s="9"/>
      <c r="T16" s="9"/>
      <c r="U16" s="12">
        <v>-76407.149999999994</v>
      </c>
      <c r="V16" s="9"/>
      <c r="W16" s="9"/>
      <c r="X16" s="12">
        <f>L16+U16</f>
        <v>2334307.1357142855</v>
      </c>
      <c r="Y16" s="12"/>
      <c r="Z16" s="9"/>
      <c r="AA16" s="9"/>
      <c r="AB16" s="56" t="s">
        <v>34</v>
      </c>
      <c r="AC16" s="14" t="s">
        <v>13</v>
      </c>
      <c r="AD16" s="15">
        <v>5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</row>
    <row r="17" spans="1:456" s="4" customFormat="1" ht="63">
      <c r="A17" s="27">
        <v>6</v>
      </c>
      <c r="B17" s="29" t="s">
        <v>92</v>
      </c>
      <c r="C17" s="7" t="s">
        <v>17</v>
      </c>
      <c r="D17" s="7" t="s">
        <v>72</v>
      </c>
      <c r="E17" s="7" t="s">
        <v>72</v>
      </c>
      <c r="F17" s="7" t="s">
        <v>73</v>
      </c>
      <c r="G17" s="63" t="s">
        <v>72</v>
      </c>
      <c r="H17" s="8" t="s">
        <v>88</v>
      </c>
      <c r="I17" s="10" t="s">
        <v>18</v>
      </c>
      <c r="J17" s="11">
        <v>5</v>
      </c>
      <c r="K17" s="12">
        <f>1080/1.12</f>
        <v>964.28571428571422</v>
      </c>
      <c r="L17" s="13">
        <f t="shared" si="0"/>
        <v>4821.4285714285706</v>
      </c>
      <c r="M17" s="9"/>
      <c r="N17" s="9"/>
      <c r="O17" s="9"/>
      <c r="P17" s="9"/>
      <c r="Q17" s="57">
        <f>2035.71*5+0.02</f>
        <v>10178.57</v>
      </c>
      <c r="R17" s="13"/>
      <c r="S17" s="13"/>
      <c r="T17" s="13"/>
      <c r="U17" s="13"/>
      <c r="V17" s="13"/>
      <c r="W17" s="13"/>
      <c r="X17" s="12">
        <f>L17+Q17</f>
        <v>14999.99857142857</v>
      </c>
      <c r="Y17" s="12"/>
      <c r="Z17" s="12"/>
      <c r="AA17" s="12"/>
      <c r="AB17" s="56" t="s">
        <v>34</v>
      </c>
      <c r="AC17" s="14" t="s">
        <v>13</v>
      </c>
      <c r="AD17" s="15">
        <v>5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</row>
    <row r="18" spans="1:456" s="4" customFormat="1" ht="63">
      <c r="A18" s="27">
        <v>7</v>
      </c>
      <c r="B18" s="29" t="s">
        <v>92</v>
      </c>
      <c r="C18" s="7" t="s">
        <v>17</v>
      </c>
      <c r="D18" s="7" t="s">
        <v>76</v>
      </c>
      <c r="E18" s="7" t="s">
        <v>76</v>
      </c>
      <c r="F18" s="7" t="s">
        <v>75</v>
      </c>
      <c r="G18" s="63" t="s">
        <v>76</v>
      </c>
      <c r="H18" s="8" t="s">
        <v>88</v>
      </c>
      <c r="I18" s="10" t="s">
        <v>18</v>
      </c>
      <c r="J18" s="11">
        <v>1</v>
      </c>
      <c r="K18" s="12">
        <f>70200/1.12</f>
        <v>62678.57142857142</v>
      </c>
      <c r="L18" s="13">
        <f t="shared" si="0"/>
        <v>62678.57142857142</v>
      </c>
      <c r="M18" s="9"/>
      <c r="N18" s="9"/>
      <c r="O18" s="9"/>
      <c r="P18" s="57">
        <v>125428.57</v>
      </c>
      <c r="Q18" s="6"/>
      <c r="R18" s="59"/>
      <c r="S18" s="59"/>
      <c r="T18" s="59"/>
      <c r="U18" s="59"/>
      <c r="V18" s="59"/>
      <c r="W18" s="59"/>
      <c r="X18" s="12">
        <f>L18+P18</f>
        <v>188107.14142857143</v>
      </c>
      <c r="Y18" s="12"/>
      <c r="Z18" s="12"/>
      <c r="AA18" s="12"/>
      <c r="AB18" s="56" t="s">
        <v>34</v>
      </c>
      <c r="AC18" s="14" t="s">
        <v>13</v>
      </c>
      <c r="AD18" s="15">
        <v>5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</row>
    <row r="19" spans="1:456" s="3" customFormat="1" ht="78" customHeight="1">
      <c r="A19" s="27">
        <v>8</v>
      </c>
      <c r="B19" s="29" t="s">
        <v>92</v>
      </c>
      <c r="C19" s="7" t="s">
        <v>11</v>
      </c>
      <c r="D19" s="7" t="s">
        <v>22</v>
      </c>
      <c r="E19" s="7" t="s">
        <v>22</v>
      </c>
      <c r="F19" s="7" t="s">
        <v>23</v>
      </c>
      <c r="G19" s="7" t="s">
        <v>70</v>
      </c>
      <c r="H19" s="8" t="s">
        <v>53</v>
      </c>
      <c r="I19" s="10" t="s">
        <v>12</v>
      </c>
      <c r="J19" s="11">
        <v>1</v>
      </c>
      <c r="K19" s="12">
        <f>2000000/1.12</f>
        <v>1785714.2857142854</v>
      </c>
      <c r="L19" s="13">
        <f t="shared" si="0"/>
        <v>1785714.2857142854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2">
        <f>L19</f>
        <v>1785714.2857142854</v>
      </c>
      <c r="Y19" s="12"/>
      <c r="Z19" s="9"/>
      <c r="AA19" s="9"/>
      <c r="AB19" s="14" t="s">
        <v>36</v>
      </c>
      <c r="AC19" s="14" t="s">
        <v>13</v>
      </c>
      <c r="AD19" s="15">
        <v>5</v>
      </c>
    </row>
    <row r="20" spans="1:456" s="3" customFormat="1" ht="110.25">
      <c r="A20" s="27">
        <v>9</v>
      </c>
      <c r="B20" s="29" t="s">
        <v>92</v>
      </c>
      <c r="C20" s="7" t="s">
        <v>11</v>
      </c>
      <c r="D20" s="7" t="s">
        <v>66</v>
      </c>
      <c r="E20" s="7" t="s">
        <v>66</v>
      </c>
      <c r="F20" s="7" t="s">
        <v>80</v>
      </c>
      <c r="G20" s="7" t="s">
        <v>66</v>
      </c>
      <c r="H20" s="8" t="s">
        <v>53</v>
      </c>
      <c r="I20" s="10" t="s">
        <v>12</v>
      </c>
      <c r="J20" s="11">
        <v>1</v>
      </c>
      <c r="K20" s="12">
        <f>4860000/1.12</f>
        <v>4339285.7142857136</v>
      </c>
      <c r="L20" s="13">
        <f t="shared" si="0"/>
        <v>4339285.7142857136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2">
        <f>L20</f>
        <v>4339285.7142857136</v>
      </c>
      <c r="Y20" s="12"/>
      <c r="Z20" s="9"/>
      <c r="AA20" s="9"/>
      <c r="AB20" s="14" t="s">
        <v>35</v>
      </c>
      <c r="AC20" s="14" t="s">
        <v>13</v>
      </c>
      <c r="AD20" s="15">
        <v>5</v>
      </c>
    </row>
    <row r="21" spans="1:456" s="3" customFormat="1" ht="78" customHeight="1">
      <c r="A21" s="27">
        <v>10</v>
      </c>
      <c r="B21" s="29" t="s">
        <v>92</v>
      </c>
      <c r="C21" s="7" t="s">
        <v>11</v>
      </c>
      <c r="D21" s="7" t="s">
        <v>77</v>
      </c>
      <c r="E21" s="7" t="s">
        <v>77</v>
      </c>
      <c r="F21" s="7" t="s">
        <v>81</v>
      </c>
      <c r="G21" s="31" t="s">
        <v>93</v>
      </c>
      <c r="H21" s="8" t="s">
        <v>88</v>
      </c>
      <c r="I21" s="10" t="s">
        <v>12</v>
      </c>
      <c r="J21" s="11">
        <v>1</v>
      </c>
      <c r="K21" s="30">
        <v>475428.57</v>
      </c>
      <c r="L21" s="13">
        <f t="shared" si="0"/>
        <v>475428.57</v>
      </c>
      <c r="M21" s="9"/>
      <c r="N21" s="9"/>
      <c r="O21" s="9"/>
      <c r="P21" s="57">
        <v>-125428.57</v>
      </c>
      <c r="Q21" s="53"/>
      <c r="R21" s="62"/>
      <c r="S21" s="62"/>
      <c r="T21" s="62"/>
      <c r="U21" s="62"/>
      <c r="V21" s="62"/>
      <c r="W21" s="62"/>
      <c r="X21" s="57">
        <f>L21+P21</f>
        <v>350000</v>
      </c>
      <c r="Y21" s="57"/>
      <c r="Z21" s="57">
        <f>X21</f>
        <v>350000</v>
      </c>
      <c r="AA21" s="13">
        <f>X21-Z21</f>
        <v>0</v>
      </c>
      <c r="AB21" s="14" t="s">
        <v>36</v>
      </c>
      <c r="AC21" s="14" t="s">
        <v>13</v>
      </c>
      <c r="AD21" s="15">
        <v>5</v>
      </c>
    </row>
    <row r="22" spans="1:456" s="3" customFormat="1" ht="78" customHeight="1">
      <c r="A22" s="27">
        <v>11</v>
      </c>
      <c r="B22" s="9" t="s">
        <v>92</v>
      </c>
      <c r="C22" s="7" t="s">
        <v>11</v>
      </c>
      <c r="D22" s="7" t="s">
        <v>77</v>
      </c>
      <c r="E22" s="7" t="s">
        <v>77</v>
      </c>
      <c r="F22" s="7" t="s">
        <v>82</v>
      </c>
      <c r="G22" s="7" t="s">
        <v>78</v>
      </c>
      <c r="H22" s="8" t="s">
        <v>53</v>
      </c>
      <c r="I22" s="10" t="s">
        <v>12</v>
      </c>
      <c r="J22" s="11">
        <v>1</v>
      </c>
      <c r="K22" s="12">
        <f>2073600/1.12</f>
        <v>1851428.5714285714</v>
      </c>
      <c r="L22" s="13">
        <f t="shared" si="0"/>
        <v>1851428.5714285714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2">
        <f>L22</f>
        <v>1851428.5714285714</v>
      </c>
      <c r="Y22" s="12"/>
      <c r="Z22" s="13">
        <v>1440000</v>
      </c>
      <c r="AA22" s="12">
        <f>L22-Z22</f>
        <v>411428.57142857136</v>
      </c>
      <c r="AB22" s="14" t="s">
        <v>36</v>
      </c>
      <c r="AC22" s="14" t="s">
        <v>13</v>
      </c>
      <c r="AD22" s="15">
        <v>5</v>
      </c>
    </row>
    <row r="23" spans="1:456" s="3" customFormat="1" ht="78" customHeight="1">
      <c r="A23" s="27">
        <v>12</v>
      </c>
      <c r="B23" s="29" t="s">
        <v>92</v>
      </c>
      <c r="C23" s="7" t="s">
        <v>11</v>
      </c>
      <c r="D23" s="7" t="s">
        <v>79</v>
      </c>
      <c r="E23" s="7" t="s">
        <v>79</v>
      </c>
      <c r="F23" s="7" t="s">
        <v>83</v>
      </c>
      <c r="G23" s="7" t="s">
        <v>79</v>
      </c>
      <c r="H23" s="8" t="s">
        <v>53</v>
      </c>
      <c r="I23" s="10" t="s">
        <v>12</v>
      </c>
      <c r="J23" s="11">
        <v>1</v>
      </c>
      <c r="K23" s="12">
        <f>628992/1.12</f>
        <v>561600</v>
      </c>
      <c r="L23" s="13">
        <f t="shared" si="0"/>
        <v>561600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2">
        <f>L23</f>
        <v>561600</v>
      </c>
      <c r="Y23" s="12"/>
      <c r="Z23" s="9"/>
      <c r="AA23" s="9"/>
      <c r="AB23" s="56" t="s">
        <v>25</v>
      </c>
      <c r="AC23" s="14" t="s">
        <v>13</v>
      </c>
      <c r="AD23" s="15">
        <v>5</v>
      </c>
    </row>
    <row r="24" spans="1:456" s="2" customFormat="1" ht="47.25">
      <c r="A24" s="28">
        <v>61</v>
      </c>
      <c r="B24" s="45" t="s">
        <v>92</v>
      </c>
      <c r="C24" s="46" t="s">
        <v>17</v>
      </c>
      <c r="D24" s="47" t="s">
        <v>19</v>
      </c>
      <c r="E24" s="47" t="s">
        <v>19</v>
      </c>
      <c r="F24" s="46" t="s">
        <v>94</v>
      </c>
      <c r="G24" s="46" t="s">
        <v>95</v>
      </c>
      <c r="H24" s="48" t="s">
        <v>53</v>
      </c>
      <c r="I24" s="49" t="s">
        <v>65</v>
      </c>
      <c r="J24" s="50">
        <v>2000000</v>
      </c>
      <c r="K24" s="51">
        <v>8.254285715</v>
      </c>
      <c r="L24" s="51">
        <f>J24*K24</f>
        <v>16508571.43</v>
      </c>
      <c r="M24" s="54"/>
      <c r="N24" s="54"/>
      <c r="O24" s="54"/>
      <c r="P24" s="54"/>
      <c r="Q24" s="54"/>
      <c r="R24" s="54"/>
      <c r="S24" s="54"/>
      <c r="T24" s="54"/>
      <c r="U24" s="54"/>
      <c r="V24" s="12">
        <v>-16508571.43</v>
      </c>
      <c r="W24" s="70"/>
      <c r="X24" s="54"/>
      <c r="Y24" s="54"/>
      <c r="Z24" s="54"/>
      <c r="AA24" s="54"/>
      <c r="AB24" s="61" t="s">
        <v>34</v>
      </c>
      <c r="AC24" s="55" t="s">
        <v>13</v>
      </c>
      <c r="AD24" s="52">
        <v>5</v>
      </c>
    </row>
    <row r="25" spans="1:456" s="2" customFormat="1" ht="63">
      <c r="A25" s="9">
        <v>62</v>
      </c>
      <c r="B25" s="9" t="s">
        <v>92</v>
      </c>
      <c r="C25" s="17" t="s">
        <v>11</v>
      </c>
      <c r="D25" s="7" t="s">
        <v>26</v>
      </c>
      <c r="E25" s="7" t="s">
        <v>26</v>
      </c>
      <c r="F25" s="17" t="s">
        <v>96</v>
      </c>
      <c r="G25" s="17" t="s">
        <v>96</v>
      </c>
      <c r="H25" s="32" t="s">
        <v>97</v>
      </c>
      <c r="I25" s="18" t="s">
        <v>12</v>
      </c>
      <c r="J25" s="19">
        <v>1</v>
      </c>
      <c r="K25" s="20"/>
      <c r="L25" s="20"/>
      <c r="M25" s="16"/>
      <c r="N25" s="16"/>
      <c r="O25" s="16"/>
      <c r="P25" s="16"/>
      <c r="Q25" s="58">
        <v>66964.289999999994</v>
      </c>
      <c r="R25" s="20"/>
      <c r="S25" s="20"/>
      <c r="T25" s="20"/>
      <c r="U25" s="20"/>
      <c r="V25" s="20"/>
      <c r="W25" s="20"/>
      <c r="X25" s="20">
        <f>Q25</f>
        <v>66964.289999999994</v>
      </c>
      <c r="Y25" s="20"/>
      <c r="Z25" s="20"/>
      <c r="AA25" s="20"/>
      <c r="AB25" s="61" t="s">
        <v>24</v>
      </c>
      <c r="AC25" s="21" t="s">
        <v>13</v>
      </c>
      <c r="AD25" s="33">
        <v>5</v>
      </c>
    </row>
    <row r="26" spans="1:456" s="2" customFormat="1" ht="63">
      <c r="A26" s="27">
        <v>65</v>
      </c>
      <c r="B26" s="9" t="s">
        <v>92</v>
      </c>
      <c r="C26" s="17" t="s">
        <v>11</v>
      </c>
      <c r="D26" s="7" t="s">
        <v>26</v>
      </c>
      <c r="E26" s="7" t="s">
        <v>26</v>
      </c>
      <c r="F26" s="7" t="s">
        <v>107</v>
      </c>
      <c r="G26" s="7" t="s">
        <v>108</v>
      </c>
      <c r="H26" s="32" t="s">
        <v>53</v>
      </c>
      <c r="I26" s="18" t="s">
        <v>12</v>
      </c>
      <c r="J26" s="19">
        <v>1</v>
      </c>
      <c r="K26" s="20"/>
      <c r="L26" s="20"/>
      <c r="M26" s="16"/>
      <c r="N26" s="16"/>
      <c r="O26" s="16"/>
      <c r="P26" s="16"/>
      <c r="Q26" s="58"/>
      <c r="R26" s="20"/>
      <c r="S26" s="20"/>
      <c r="T26" s="20"/>
      <c r="U26" s="20">
        <v>1250000</v>
      </c>
      <c r="V26" s="20"/>
      <c r="W26" s="20"/>
      <c r="X26" s="20">
        <f>U26</f>
        <v>1250000</v>
      </c>
      <c r="Y26" s="20"/>
      <c r="Z26" s="20"/>
      <c r="AA26" s="20"/>
      <c r="AB26" s="61" t="s">
        <v>34</v>
      </c>
      <c r="AC26" s="21" t="s">
        <v>105</v>
      </c>
      <c r="AD26" s="33">
        <v>5</v>
      </c>
    </row>
    <row r="27" spans="1:456" s="2" customFormat="1" ht="47.25">
      <c r="A27" s="27">
        <v>66</v>
      </c>
      <c r="B27" s="9" t="s">
        <v>92</v>
      </c>
      <c r="C27" s="17" t="s">
        <v>17</v>
      </c>
      <c r="D27" s="7" t="s">
        <v>19</v>
      </c>
      <c r="E27" s="7" t="s">
        <v>19</v>
      </c>
      <c r="F27" s="7" t="s">
        <v>109</v>
      </c>
      <c r="G27" s="7" t="s">
        <v>110</v>
      </c>
      <c r="H27" s="32" t="s">
        <v>53</v>
      </c>
      <c r="I27" s="18" t="s">
        <v>18</v>
      </c>
      <c r="J27" s="19">
        <v>80</v>
      </c>
      <c r="K27" s="20">
        <v>11595</v>
      </c>
      <c r="L27" s="20"/>
      <c r="M27" s="16"/>
      <c r="N27" s="16"/>
      <c r="O27" s="16"/>
      <c r="P27" s="16"/>
      <c r="Q27" s="58"/>
      <c r="R27" s="20"/>
      <c r="S27" s="20"/>
      <c r="T27" s="20"/>
      <c r="U27" s="20">
        <f>J27*K27</f>
        <v>927600</v>
      </c>
      <c r="V27" s="20"/>
      <c r="W27" s="20"/>
      <c r="X27" s="20">
        <f>U27</f>
        <v>927600</v>
      </c>
      <c r="Y27" s="20"/>
      <c r="Z27" s="20"/>
      <c r="AA27" s="20"/>
      <c r="AB27" s="61" t="s">
        <v>25</v>
      </c>
      <c r="AC27" s="21" t="s">
        <v>106</v>
      </c>
      <c r="AD27" s="33">
        <v>0</v>
      </c>
    </row>
    <row r="28" spans="1:456" s="2" customFormat="1" ht="110.25">
      <c r="A28" s="27">
        <v>67</v>
      </c>
      <c r="B28" s="9" t="s">
        <v>92</v>
      </c>
      <c r="C28" s="17" t="s">
        <v>11</v>
      </c>
      <c r="D28" s="7" t="s">
        <v>112</v>
      </c>
      <c r="E28" s="7" t="s">
        <v>112</v>
      </c>
      <c r="F28" s="7" t="s">
        <v>114</v>
      </c>
      <c r="G28" s="7" t="s">
        <v>113</v>
      </c>
      <c r="H28" s="32" t="s">
        <v>88</v>
      </c>
      <c r="I28" s="18" t="s">
        <v>12</v>
      </c>
      <c r="J28" s="19">
        <v>1</v>
      </c>
      <c r="K28" s="20"/>
      <c r="L28" s="20"/>
      <c r="M28" s="16"/>
      <c r="N28" s="16"/>
      <c r="O28" s="16"/>
      <c r="P28" s="16"/>
      <c r="Q28" s="58"/>
      <c r="R28" s="20"/>
      <c r="S28" s="20"/>
      <c r="T28" s="20"/>
      <c r="U28" s="20">
        <v>221000</v>
      </c>
      <c r="V28" s="20"/>
      <c r="W28" s="20"/>
      <c r="X28" s="20">
        <f>U28</f>
        <v>221000</v>
      </c>
      <c r="Y28" s="20"/>
      <c r="Z28" s="20"/>
      <c r="AA28" s="20"/>
      <c r="AB28" s="61" t="s">
        <v>25</v>
      </c>
      <c r="AC28" s="21" t="s">
        <v>111</v>
      </c>
      <c r="AD28" s="33">
        <v>0</v>
      </c>
    </row>
    <row r="29" spans="1:456" s="2" customFormat="1" ht="63">
      <c r="A29" s="27">
        <v>68</v>
      </c>
      <c r="B29" s="9" t="s">
        <v>92</v>
      </c>
      <c r="C29" s="17" t="s">
        <v>17</v>
      </c>
      <c r="D29" s="7" t="s">
        <v>115</v>
      </c>
      <c r="E29" s="7" t="s">
        <v>115</v>
      </c>
      <c r="F29" s="7" t="s">
        <v>116</v>
      </c>
      <c r="G29" s="7" t="s">
        <v>115</v>
      </c>
      <c r="H29" s="32" t="s">
        <v>88</v>
      </c>
      <c r="I29" s="18" t="s">
        <v>18</v>
      </c>
      <c r="J29" s="19">
        <v>100</v>
      </c>
      <c r="K29" s="20">
        <v>318.16964285714283</v>
      </c>
      <c r="L29" s="20"/>
      <c r="M29" s="16"/>
      <c r="N29" s="16"/>
      <c r="O29" s="16"/>
      <c r="P29" s="16"/>
      <c r="Q29" s="58"/>
      <c r="R29" s="20"/>
      <c r="S29" s="20"/>
      <c r="T29" s="20"/>
      <c r="U29" s="20"/>
      <c r="V29" s="20"/>
      <c r="W29" s="20">
        <f t="shared" ref="W29:W34" si="1">J29*K29</f>
        <v>31816.964285714283</v>
      </c>
      <c r="X29" s="20">
        <f t="shared" ref="X29:X34" si="2">W29</f>
        <v>31816.964285714283</v>
      </c>
      <c r="Y29" s="20"/>
      <c r="Z29" s="20"/>
      <c r="AA29" s="20"/>
      <c r="AB29" s="61" t="s">
        <v>25</v>
      </c>
      <c r="AC29" s="21" t="s">
        <v>111</v>
      </c>
      <c r="AD29" s="33">
        <v>0</v>
      </c>
    </row>
    <row r="30" spans="1:456" s="2" customFormat="1" ht="63">
      <c r="A30" s="9">
        <v>69</v>
      </c>
      <c r="B30" s="9" t="s">
        <v>92</v>
      </c>
      <c r="C30" s="17" t="s">
        <v>17</v>
      </c>
      <c r="D30" s="7" t="s">
        <v>117</v>
      </c>
      <c r="E30" s="7" t="s">
        <v>117</v>
      </c>
      <c r="F30" s="7" t="s">
        <v>118</v>
      </c>
      <c r="G30" s="7" t="s">
        <v>117</v>
      </c>
      <c r="H30" s="32" t="s">
        <v>88</v>
      </c>
      <c r="I30" s="18" t="s">
        <v>18</v>
      </c>
      <c r="J30" s="19">
        <v>100</v>
      </c>
      <c r="K30" s="20">
        <v>1216.2678571428571</v>
      </c>
      <c r="L30" s="20"/>
      <c r="M30" s="16"/>
      <c r="N30" s="16"/>
      <c r="O30" s="16"/>
      <c r="P30" s="16"/>
      <c r="Q30" s="58"/>
      <c r="R30" s="20"/>
      <c r="S30" s="20"/>
      <c r="T30" s="20"/>
      <c r="U30" s="20"/>
      <c r="V30" s="20"/>
      <c r="W30" s="20">
        <f t="shared" si="1"/>
        <v>121626.78571428571</v>
      </c>
      <c r="X30" s="20">
        <f t="shared" si="2"/>
        <v>121626.78571428571</v>
      </c>
      <c r="Y30" s="20"/>
      <c r="Z30" s="20"/>
      <c r="AA30" s="20"/>
      <c r="AB30" s="61" t="s">
        <v>25</v>
      </c>
      <c r="AC30" s="21" t="s">
        <v>111</v>
      </c>
      <c r="AD30" s="33">
        <v>0</v>
      </c>
    </row>
    <row r="31" spans="1:456" s="2" customFormat="1" ht="63">
      <c r="A31" s="9">
        <v>71</v>
      </c>
      <c r="B31" s="17" t="s">
        <v>92</v>
      </c>
      <c r="C31" s="7" t="s">
        <v>17</v>
      </c>
      <c r="D31" s="7" t="s">
        <v>119</v>
      </c>
      <c r="E31" s="7" t="s">
        <v>119</v>
      </c>
      <c r="F31" s="7" t="s">
        <v>120</v>
      </c>
      <c r="G31" s="32" t="s">
        <v>119</v>
      </c>
      <c r="H31" s="18" t="s">
        <v>88</v>
      </c>
      <c r="I31" s="19" t="s">
        <v>18</v>
      </c>
      <c r="J31" s="20">
        <v>1</v>
      </c>
      <c r="K31" s="12">
        <f>49535/1.12</f>
        <v>44227.678571428565</v>
      </c>
      <c r="L31" s="20"/>
      <c r="M31" s="16"/>
      <c r="N31" s="16"/>
      <c r="O31" s="16"/>
      <c r="P31" s="16"/>
      <c r="Q31" s="58"/>
      <c r="R31" s="20"/>
      <c r="S31" s="20"/>
      <c r="T31" s="20"/>
      <c r="U31" s="20"/>
      <c r="V31" s="20"/>
      <c r="W31" s="20">
        <f t="shared" si="1"/>
        <v>44227.678571428565</v>
      </c>
      <c r="X31" s="20">
        <f t="shared" si="2"/>
        <v>44227.678571428565</v>
      </c>
      <c r="Y31" s="20"/>
      <c r="Z31" s="20"/>
      <c r="AA31" s="20"/>
      <c r="AB31" s="61" t="s">
        <v>25</v>
      </c>
      <c r="AC31" s="21" t="s">
        <v>111</v>
      </c>
      <c r="AD31" s="33">
        <v>0</v>
      </c>
    </row>
    <row r="32" spans="1:456" s="2" customFormat="1" ht="63">
      <c r="A32" s="9">
        <v>72</v>
      </c>
      <c r="B32" s="17" t="s">
        <v>92</v>
      </c>
      <c r="C32" s="7" t="s">
        <v>17</v>
      </c>
      <c r="D32" s="7" t="s">
        <v>121</v>
      </c>
      <c r="E32" s="7" t="s">
        <v>121</v>
      </c>
      <c r="F32" s="7" t="s">
        <v>122</v>
      </c>
      <c r="G32" s="32" t="s">
        <v>123</v>
      </c>
      <c r="H32" s="18" t="s">
        <v>88</v>
      </c>
      <c r="I32" s="19" t="s">
        <v>18</v>
      </c>
      <c r="J32" s="20">
        <v>50</v>
      </c>
      <c r="K32" s="12">
        <f>2638.7/1.12</f>
        <v>2355.9821428571427</v>
      </c>
      <c r="L32" s="20"/>
      <c r="M32" s="16"/>
      <c r="N32" s="16"/>
      <c r="O32" s="16"/>
      <c r="P32" s="16"/>
      <c r="Q32" s="58"/>
      <c r="R32" s="20"/>
      <c r="S32" s="20"/>
      <c r="T32" s="20"/>
      <c r="U32" s="20"/>
      <c r="V32" s="20"/>
      <c r="W32" s="20">
        <f t="shared" si="1"/>
        <v>117799.10714285713</v>
      </c>
      <c r="X32" s="20">
        <f t="shared" si="2"/>
        <v>117799.10714285713</v>
      </c>
      <c r="Y32" s="20"/>
      <c r="Z32" s="20"/>
      <c r="AA32" s="20"/>
      <c r="AB32" s="61" t="s">
        <v>25</v>
      </c>
      <c r="AC32" s="21" t="s">
        <v>111</v>
      </c>
      <c r="AD32" s="33">
        <v>0</v>
      </c>
    </row>
    <row r="33" spans="1:30" s="2" customFormat="1" ht="63">
      <c r="A33" s="9">
        <v>73</v>
      </c>
      <c r="B33" s="17" t="s">
        <v>92</v>
      </c>
      <c r="C33" s="7" t="s">
        <v>17</v>
      </c>
      <c r="D33" s="7" t="s">
        <v>124</v>
      </c>
      <c r="E33" s="7" t="s">
        <v>124</v>
      </c>
      <c r="F33" s="7" t="s">
        <v>125</v>
      </c>
      <c r="G33" s="32" t="s">
        <v>126</v>
      </c>
      <c r="H33" s="18" t="s">
        <v>88</v>
      </c>
      <c r="I33" s="19" t="s">
        <v>18</v>
      </c>
      <c r="J33" s="20">
        <v>2</v>
      </c>
      <c r="K33" s="12">
        <f>53346/1.12</f>
        <v>47630.357142857138</v>
      </c>
      <c r="L33" s="20"/>
      <c r="M33" s="16"/>
      <c r="N33" s="16"/>
      <c r="O33" s="16"/>
      <c r="P33" s="16"/>
      <c r="Q33" s="58"/>
      <c r="R33" s="20"/>
      <c r="S33" s="20"/>
      <c r="T33" s="20"/>
      <c r="U33" s="20"/>
      <c r="V33" s="20"/>
      <c r="W33" s="20">
        <f t="shared" si="1"/>
        <v>95260.714285714275</v>
      </c>
      <c r="X33" s="20">
        <f t="shared" si="2"/>
        <v>95260.714285714275</v>
      </c>
      <c r="Y33" s="20"/>
      <c r="Z33" s="20"/>
      <c r="AA33" s="20"/>
      <c r="AB33" s="61" t="s">
        <v>25</v>
      </c>
      <c r="AC33" s="21" t="s">
        <v>111</v>
      </c>
      <c r="AD33" s="33">
        <v>0</v>
      </c>
    </row>
    <row r="34" spans="1:30" s="2" customFormat="1" ht="63">
      <c r="A34" s="9">
        <v>74</v>
      </c>
      <c r="B34" s="17" t="s">
        <v>92</v>
      </c>
      <c r="C34" s="7" t="s">
        <v>17</v>
      </c>
      <c r="D34" s="7" t="s">
        <v>127</v>
      </c>
      <c r="E34" s="7" t="s">
        <v>127</v>
      </c>
      <c r="F34" s="7" t="s">
        <v>128</v>
      </c>
      <c r="G34" s="32" t="s">
        <v>129</v>
      </c>
      <c r="H34" s="18" t="s">
        <v>88</v>
      </c>
      <c r="I34" s="19" t="s">
        <v>18</v>
      </c>
      <c r="J34" s="20">
        <v>2</v>
      </c>
      <c r="K34" s="12">
        <f>14300/1.12</f>
        <v>12767.857142857141</v>
      </c>
      <c r="L34" s="20"/>
      <c r="M34" s="16"/>
      <c r="N34" s="16"/>
      <c r="O34" s="16"/>
      <c r="P34" s="16"/>
      <c r="Q34" s="58"/>
      <c r="R34" s="20"/>
      <c r="S34" s="20"/>
      <c r="T34" s="20"/>
      <c r="U34" s="20"/>
      <c r="V34" s="20"/>
      <c r="W34" s="20">
        <f t="shared" si="1"/>
        <v>25535.714285714283</v>
      </c>
      <c r="X34" s="20">
        <f t="shared" si="2"/>
        <v>25535.714285714283</v>
      </c>
      <c r="Y34" s="20"/>
      <c r="Z34" s="20"/>
      <c r="AA34" s="20"/>
      <c r="AB34" s="61" t="s">
        <v>25</v>
      </c>
      <c r="AC34" s="21" t="s">
        <v>111</v>
      </c>
      <c r="AD34" s="33">
        <v>0</v>
      </c>
    </row>
    <row r="35" spans="1:30" ht="49.15" customHeight="1">
      <c r="E35" s="120"/>
      <c r="F35" s="120"/>
      <c r="X35" s="71">
        <f>SUM(X14:X34)</f>
        <v>34643663.241428569</v>
      </c>
      <c r="Y35" s="71"/>
    </row>
    <row r="36" spans="1:30" ht="18.75">
      <c r="D36" s="141" t="s">
        <v>37</v>
      </c>
      <c r="E36" s="142"/>
      <c r="F36" s="5"/>
      <c r="G36" s="65" t="s">
        <v>55</v>
      </c>
      <c r="I36" s="143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</row>
    <row r="38" spans="1:30" ht="18.75">
      <c r="D38" s="136" t="s">
        <v>38</v>
      </c>
      <c r="E38" s="136"/>
      <c r="F38" s="136"/>
      <c r="G38" s="65" t="s">
        <v>56</v>
      </c>
      <c r="K38" s="65" t="s">
        <v>64</v>
      </c>
    </row>
    <row r="39" spans="1:30" ht="18.75">
      <c r="D39" s="64"/>
      <c r="E39" s="64"/>
      <c r="F39" s="64"/>
      <c r="G39" s="65"/>
      <c r="L39" s="22" t="s">
        <v>61</v>
      </c>
    </row>
    <row r="41" spans="1:30" ht="18.75">
      <c r="D41" s="136" t="s">
        <v>57</v>
      </c>
      <c r="E41" s="136"/>
      <c r="F41" s="136"/>
      <c r="G41" s="65" t="s">
        <v>58</v>
      </c>
    </row>
    <row r="42" spans="1:30" ht="18.75">
      <c r="D42" s="64"/>
      <c r="E42" s="64"/>
      <c r="F42" s="64"/>
      <c r="L42" s="22" t="s">
        <v>62</v>
      </c>
    </row>
    <row r="43" spans="1:30" ht="18.75">
      <c r="D43" s="136" t="s">
        <v>85</v>
      </c>
      <c r="E43" s="136"/>
      <c r="G43" s="65" t="s">
        <v>67</v>
      </c>
    </row>
    <row r="44" spans="1:30" ht="18.75">
      <c r="I44" s="22"/>
      <c r="J44" s="22"/>
      <c r="L44" s="22" t="s">
        <v>86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8.75"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8.75">
      <c r="D46" s="136" t="s">
        <v>40</v>
      </c>
      <c r="E46" s="136"/>
      <c r="G46" s="65" t="s">
        <v>59</v>
      </c>
      <c r="I46" s="22"/>
      <c r="J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8.75">
      <c r="I47" s="22"/>
      <c r="J47" s="22"/>
      <c r="K47" s="22"/>
      <c r="L47" s="22" t="s">
        <v>45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8.75">
      <c r="I48" s="22"/>
      <c r="J48" s="22"/>
      <c r="K48" s="22" t="s">
        <v>45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4:30" ht="18.75">
      <c r="D49" s="136" t="s">
        <v>41</v>
      </c>
      <c r="E49" s="136"/>
      <c r="F49" s="136"/>
      <c r="G49" s="65" t="s">
        <v>60</v>
      </c>
      <c r="I49" s="22" t="s">
        <v>43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4:30" ht="18.75"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5" spans="4:30" ht="15.75">
      <c r="I55" s="136" t="s">
        <v>39</v>
      </c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</row>
    <row r="56" spans="4:30" ht="18.75">
      <c r="I56" s="22"/>
      <c r="J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4:30" ht="18.75">
      <c r="I57" s="22"/>
      <c r="J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4:30" ht="18.75">
      <c r="I58" s="22"/>
      <c r="J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4:30" ht="18.75">
      <c r="I59" s="22" t="s">
        <v>42</v>
      </c>
      <c r="J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</sheetData>
  <mergeCells count="39">
    <mergeCell ref="D38:F38"/>
    <mergeCell ref="D41:F41"/>
    <mergeCell ref="D43:E43"/>
    <mergeCell ref="D46:E46"/>
    <mergeCell ref="D49:F49"/>
    <mergeCell ref="I55:AD55"/>
    <mergeCell ref="AC10:AC11"/>
    <mergeCell ref="AD10:AD11"/>
    <mergeCell ref="E35:F35"/>
    <mergeCell ref="D36:E36"/>
    <mergeCell ref="I36:AD36"/>
    <mergeCell ref="V10:V11"/>
    <mergeCell ref="W10:W11"/>
    <mergeCell ref="X10:X11"/>
    <mergeCell ref="Z10:Z11"/>
    <mergeCell ref="AA10:AA11"/>
    <mergeCell ref="AB10:AB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A6:K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dataValidations xWindow="1243" yWindow="545" count="5">
    <dataValidation type="list" allowBlank="1" showInputMessage="1" showErrorMessage="1" sqref="AB14 AB24:AB34">
      <formula1>Месяц</formula1>
    </dataValidation>
    <dataValidation type="decimal" operator="greaterThan" allowBlank="1" showInputMessage="1" showErrorMessage="1" prompt="Введите прогнозируемую сумму на третий год" sqref="V25:W25 X24:AA25 M24:U25 M26:AA34">
      <formula1>0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D24:AD34">
      <formula1>0</formula1>
      <formula2>100</formula2>
    </dataValidation>
    <dataValidation allowBlank="1" showInputMessage="1" showErrorMessage="1" prompt="Единица измерения заполняется автоматически в соответствии с КТРУ" sqref="I24:I34"/>
    <dataValidation type="list" allowBlank="1" showInputMessage="1" showErrorMessage="1" sqref="AC24:AC34">
      <formula1>КАТО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W139"/>
  <sheetViews>
    <sheetView tabSelected="1" zoomScale="58" zoomScaleNormal="58" workbookViewId="0">
      <selection activeCell="D110" sqref="D110"/>
    </sheetView>
  </sheetViews>
  <sheetFormatPr defaultColWidth="8.85546875" defaultRowHeight="15"/>
  <cols>
    <col min="1" max="1" width="6" style="73" customWidth="1"/>
    <col min="2" max="2" width="15.140625" style="73" customWidth="1"/>
    <col min="3" max="3" width="35.5703125" style="73" customWidth="1"/>
    <col min="4" max="4" width="39.140625" style="73" customWidth="1"/>
    <col min="5" max="5" width="25.28515625" style="73" customWidth="1"/>
    <col min="6" max="6" width="16.28515625" style="73" customWidth="1"/>
    <col min="7" max="7" width="13.28515625" style="73" customWidth="1"/>
    <col min="8" max="8" width="18.42578125" style="73" customWidth="1"/>
    <col min="9" max="9" width="23.28515625" style="73" customWidth="1"/>
    <col min="10" max="10" width="22.7109375" style="73" customWidth="1"/>
    <col min="11" max="11" width="23.85546875" style="73" customWidth="1"/>
    <col min="12" max="12" width="17.7109375" style="73" customWidth="1"/>
    <col min="13" max="13" width="16.85546875" style="73" customWidth="1"/>
    <col min="14" max="14" width="17.85546875" style="73" customWidth="1"/>
    <col min="15" max="15" width="12.140625" style="73" customWidth="1"/>
    <col min="16" max="16" width="22" style="73" customWidth="1"/>
    <col min="17" max="18" width="8.85546875" style="73"/>
    <col min="19" max="20" width="9.7109375" style="73" bestFit="1" customWidth="1"/>
    <col min="21" max="16384" width="8.85546875" style="73"/>
  </cols>
  <sheetData>
    <row r="1" spans="1:16" ht="15.75">
      <c r="K1" s="26" t="s">
        <v>63</v>
      </c>
      <c r="L1" s="26"/>
    </row>
    <row r="2" spans="1:16" ht="24.6" customHeight="1">
      <c r="A2" s="119" t="s">
        <v>166</v>
      </c>
      <c r="B2" s="119"/>
      <c r="C2" s="120"/>
      <c r="D2" s="120"/>
      <c r="E2" s="120"/>
      <c r="F2" s="120"/>
      <c r="G2" s="120"/>
      <c r="H2" s="120"/>
      <c r="K2" s="26" t="s">
        <v>321</v>
      </c>
      <c r="L2" s="26"/>
    </row>
    <row r="3" spans="1:16" ht="15.75" thickBot="1"/>
    <row r="4" spans="1:16" ht="63" customHeight="1" thickBot="1">
      <c r="C4" s="23" t="s">
        <v>54</v>
      </c>
      <c r="D4" s="25" t="s">
        <v>0</v>
      </c>
      <c r="E4" s="23" t="s">
        <v>167</v>
      </c>
    </row>
    <row r="5" spans="1:16" ht="30.6" customHeight="1" thickBot="1"/>
    <row r="6" spans="1:16" s="1" customFormat="1" ht="12" customHeight="1">
      <c r="A6" s="153" t="s">
        <v>1</v>
      </c>
      <c r="B6" s="155" t="s">
        <v>168</v>
      </c>
      <c r="C6" s="153" t="s">
        <v>169</v>
      </c>
      <c r="D6" s="155" t="s">
        <v>47</v>
      </c>
      <c r="E6" s="153" t="s">
        <v>3</v>
      </c>
      <c r="F6" s="159" t="s">
        <v>50</v>
      </c>
      <c r="G6" s="145" t="s">
        <v>4</v>
      </c>
      <c r="H6" s="147" t="s">
        <v>170</v>
      </c>
      <c r="I6" s="149" t="s">
        <v>171</v>
      </c>
      <c r="J6" s="149" t="s">
        <v>172</v>
      </c>
      <c r="K6" s="149" t="s">
        <v>173</v>
      </c>
      <c r="L6" s="149" t="s">
        <v>174</v>
      </c>
      <c r="M6" s="151" t="s">
        <v>160</v>
      </c>
    </row>
    <row r="7" spans="1:16" s="1" customFormat="1" ht="166.15" customHeight="1" thickBot="1">
      <c r="A7" s="154"/>
      <c r="B7" s="156"/>
      <c r="C7" s="157"/>
      <c r="D7" s="158"/>
      <c r="E7" s="154"/>
      <c r="F7" s="160"/>
      <c r="G7" s="146"/>
      <c r="H7" s="148"/>
      <c r="I7" s="150"/>
      <c r="J7" s="150"/>
      <c r="K7" s="150"/>
      <c r="L7" s="150"/>
      <c r="M7" s="152"/>
    </row>
    <row r="8" spans="1:16" s="1" customFormat="1" ht="35.450000000000003" customHeight="1" thickBot="1">
      <c r="A8" s="93">
        <v>0</v>
      </c>
      <c r="B8" s="94">
        <v>1</v>
      </c>
      <c r="C8" s="94">
        <v>2</v>
      </c>
      <c r="D8" s="95">
        <v>3</v>
      </c>
      <c r="E8" s="94">
        <v>4</v>
      </c>
      <c r="F8" s="95">
        <v>5</v>
      </c>
      <c r="G8" s="94">
        <v>6</v>
      </c>
      <c r="H8" s="95">
        <v>7</v>
      </c>
      <c r="I8" s="96" t="s">
        <v>175</v>
      </c>
      <c r="J8" s="96" t="s">
        <v>161</v>
      </c>
      <c r="K8" s="96" t="s">
        <v>176</v>
      </c>
      <c r="L8" s="96" t="s">
        <v>177</v>
      </c>
      <c r="M8" s="94">
        <v>12</v>
      </c>
    </row>
    <row r="9" spans="1:16" s="1" customFormat="1" ht="72" customHeight="1">
      <c r="A9" s="27">
        <v>1</v>
      </c>
      <c r="B9" s="9" t="s">
        <v>92</v>
      </c>
      <c r="C9" s="82" t="s">
        <v>179</v>
      </c>
      <c r="D9" s="82" t="s">
        <v>178</v>
      </c>
      <c r="E9" s="8" t="s">
        <v>164</v>
      </c>
      <c r="F9" s="10" t="s">
        <v>12</v>
      </c>
      <c r="G9" s="11">
        <v>1</v>
      </c>
      <c r="H9" s="12">
        <v>394647</v>
      </c>
      <c r="I9" s="13">
        <f>G9*H9</f>
        <v>394647</v>
      </c>
      <c r="J9" s="13"/>
      <c r="K9" s="13"/>
      <c r="L9" s="13"/>
      <c r="M9" s="100" t="s">
        <v>144</v>
      </c>
      <c r="P9" s="103"/>
    </row>
    <row r="10" spans="1:16" s="1" customFormat="1" ht="63.6" customHeight="1">
      <c r="A10" s="27">
        <v>2</v>
      </c>
      <c r="B10" s="9" t="s">
        <v>92</v>
      </c>
      <c r="C10" s="82" t="s">
        <v>181</v>
      </c>
      <c r="D10" s="82" t="s">
        <v>180</v>
      </c>
      <c r="E10" s="8" t="s">
        <v>164</v>
      </c>
      <c r="F10" s="10" t="s">
        <v>12</v>
      </c>
      <c r="G10" s="11">
        <v>1</v>
      </c>
      <c r="H10" s="12">
        <v>436320</v>
      </c>
      <c r="I10" s="13">
        <f>G10*H10</f>
        <v>436320</v>
      </c>
      <c r="J10" s="92"/>
      <c r="K10" s="92"/>
      <c r="L10" s="92"/>
      <c r="M10" s="116" t="s">
        <v>143</v>
      </c>
      <c r="P10" s="103"/>
    </row>
    <row r="11" spans="1:16" s="1" customFormat="1" ht="67.900000000000006" customHeight="1">
      <c r="A11" s="27">
        <v>3</v>
      </c>
      <c r="B11" s="9" t="s">
        <v>92</v>
      </c>
      <c r="C11" s="82" t="s">
        <v>182</v>
      </c>
      <c r="D11" s="82" t="s">
        <v>131</v>
      </c>
      <c r="E11" s="8" t="s">
        <v>164</v>
      </c>
      <c r="F11" s="10" t="s">
        <v>12</v>
      </c>
      <c r="G11" s="11">
        <v>1</v>
      </c>
      <c r="H11" s="12">
        <v>2879712</v>
      </c>
      <c r="I11" s="13">
        <f>G11*H11</f>
        <v>2879712</v>
      </c>
      <c r="J11" s="92"/>
      <c r="K11" s="92"/>
      <c r="L11" s="92"/>
      <c r="M11" s="116" t="s">
        <v>143</v>
      </c>
    </row>
    <row r="12" spans="1:16" s="1" customFormat="1" ht="69" customHeight="1">
      <c r="A12" s="27">
        <v>4</v>
      </c>
      <c r="B12" s="9" t="s">
        <v>92</v>
      </c>
      <c r="C12" s="82" t="s">
        <v>184</v>
      </c>
      <c r="D12" s="82" t="s">
        <v>183</v>
      </c>
      <c r="E12" s="8" t="s">
        <v>164</v>
      </c>
      <c r="F12" s="10" t="s">
        <v>12</v>
      </c>
      <c r="G12" s="11">
        <v>1</v>
      </c>
      <c r="H12" s="12">
        <v>94536</v>
      </c>
      <c r="I12" s="13">
        <f>G12*H12</f>
        <v>94536</v>
      </c>
      <c r="J12" s="92"/>
      <c r="K12" s="92"/>
      <c r="L12" s="92"/>
      <c r="M12" s="116" t="s">
        <v>143</v>
      </c>
    </row>
    <row r="13" spans="1:16" s="1" customFormat="1" ht="67.150000000000006" customHeight="1">
      <c r="A13" s="27">
        <v>5</v>
      </c>
      <c r="B13" s="9" t="s">
        <v>92</v>
      </c>
      <c r="C13" s="82" t="s">
        <v>186</v>
      </c>
      <c r="D13" s="82" t="s">
        <v>185</v>
      </c>
      <c r="E13" s="8" t="s">
        <v>197</v>
      </c>
      <c r="F13" s="10" t="s">
        <v>18</v>
      </c>
      <c r="G13" s="11">
        <v>532</v>
      </c>
      <c r="H13" s="12">
        <f>11400/1.12</f>
        <v>10178.571428571428</v>
      </c>
      <c r="I13" s="13">
        <f>G13*H13</f>
        <v>5414999.9999999991</v>
      </c>
      <c r="J13" s="92"/>
      <c r="K13" s="92"/>
      <c r="L13" s="92"/>
      <c r="M13" s="116" t="s">
        <v>143</v>
      </c>
    </row>
    <row r="14" spans="1:16" s="1" customFormat="1" ht="84.6" customHeight="1">
      <c r="A14" s="27">
        <v>6</v>
      </c>
      <c r="B14" s="9" t="s">
        <v>92</v>
      </c>
      <c r="C14" s="82" t="s">
        <v>188</v>
      </c>
      <c r="D14" s="82" t="s">
        <v>187</v>
      </c>
      <c r="E14" s="8" t="s">
        <v>164</v>
      </c>
      <c r="F14" s="10" t="s">
        <v>12</v>
      </c>
      <c r="G14" s="11">
        <v>1</v>
      </c>
      <c r="H14" s="12">
        <f>2100000/1.12</f>
        <v>1874999.9999999998</v>
      </c>
      <c r="I14" s="13">
        <f t="shared" ref="I14:I84" si="0">G14*H14</f>
        <v>1874999.9999999998</v>
      </c>
      <c r="J14" s="92"/>
      <c r="K14" s="92"/>
      <c r="L14" s="92"/>
      <c r="M14" s="116" t="s">
        <v>143</v>
      </c>
    </row>
    <row r="15" spans="1:16" s="1" customFormat="1" ht="69" customHeight="1">
      <c r="A15" s="27">
        <v>7</v>
      </c>
      <c r="B15" s="9" t="s">
        <v>92</v>
      </c>
      <c r="C15" s="82" t="s">
        <v>190</v>
      </c>
      <c r="D15" s="82" t="s">
        <v>189</v>
      </c>
      <c r="E15" s="8" t="s">
        <v>164</v>
      </c>
      <c r="F15" s="10" t="s">
        <v>12</v>
      </c>
      <c r="G15" s="11">
        <v>1</v>
      </c>
      <c r="H15" s="12">
        <f>1932000/1.12</f>
        <v>1724999.9999999998</v>
      </c>
      <c r="I15" s="13">
        <f t="shared" si="0"/>
        <v>1724999.9999999998</v>
      </c>
      <c r="J15" s="92"/>
      <c r="K15" s="92"/>
      <c r="L15" s="92"/>
      <c r="M15" s="116" t="s">
        <v>143</v>
      </c>
    </row>
    <row r="16" spans="1:16" s="1" customFormat="1" ht="69" customHeight="1">
      <c r="A16" s="27">
        <v>8</v>
      </c>
      <c r="B16" s="9" t="s">
        <v>92</v>
      </c>
      <c r="C16" s="82" t="s">
        <v>192</v>
      </c>
      <c r="D16" s="82" t="s">
        <v>191</v>
      </c>
      <c r="E16" s="8" t="s">
        <v>165</v>
      </c>
      <c r="F16" s="10" t="s">
        <v>12</v>
      </c>
      <c r="G16" s="11">
        <v>1</v>
      </c>
      <c r="H16" s="104">
        <f>21917952/1.12</f>
        <v>19569600</v>
      </c>
      <c r="I16" s="13">
        <f t="shared" si="0"/>
        <v>19569600</v>
      </c>
      <c r="J16" s="92"/>
      <c r="K16" s="92"/>
      <c r="L16" s="92"/>
      <c r="M16" s="100" t="s">
        <v>145</v>
      </c>
    </row>
    <row r="17" spans="1:439" s="1" customFormat="1" ht="61.9" customHeight="1">
      <c r="A17" s="27">
        <v>9</v>
      </c>
      <c r="B17" s="9" t="s">
        <v>92</v>
      </c>
      <c r="C17" s="82" t="s">
        <v>194</v>
      </c>
      <c r="D17" s="82" t="s">
        <v>193</v>
      </c>
      <c r="E17" s="8" t="s">
        <v>197</v>
      </c>
      <c r="F17" s="10" t="s">
        <v>12</v>
      </c>
      <c r="G17" s="11">
        <v>1</v>
      </c>
      <c r="H17" s="104">
        <f>1304700/1.12</f>
        <v>1164910.7142857141</v>
      </c>
      <c r="I17" s="13">
        <f t="shared" si="0"/>
        <v>1164910.7142857141</v>
      </c>
      <c r="J17" s="92"/>
      <c r="K17" s="92"/>
      <c r="L17" s="92"/>
      <c r="M17" s="116" t="s">
        <v>143</v>
      </c>
      <c r="P17" s="105"/>
    </row>
    <row r="18" spans="1:439" s="1" customFormat="1" ht="69" customHeight="1">
      <c r="A18" s="27">
        <v>10</v>
      </c>
      <c r="B18" s="9" t="s">
        <v>92</v>
      </c>
      <c r="C18" s="82" t="s">
        <v>196</v>
      </c>
      <c r="D18" s="82" t="s">
        <v>195</v>
      </c>
      <c r="E18" s="8" t="s">
        <v>197</v>
      </c>
      <c r="F18" s="10" t="s">
        <v>12</v>
      </c>
      <c r="G18" s="11">
        <v>1</v>
      </c>
      <c r="H18" s="104">
        <f>600000/1.12</f>
        <v>535714.28571428568</v>
      </c>
      <c r="I18" s="13">
        <f t="shared" si="0"/>
        <v>535714.28571428568</v>
      </c>
      <c r="J18" s="92"/>
      <c r="K18" s="92"/>
      <c r="L18" s="92"/>
      <c r="M18" s="100" t="s">
        <v>145</v>
      </c>
      <c r="P18" s="80"/>
    </row>
    <row r="19" spans="1:439" s="1" customFormat="1" ht="69" customHeight="1">
      <c r="A19" s="27">
        <v>11</v>
      </c>
      <c r="B19" s="9" t="s">
        <v>92</v>
      </c>
      <c r="C19" s="82" t="s">
        <v>146</v>
      </c>
      <c r="D19" s="82" t="s">
        <v>317</v>
      </c>
      <c r="E19" s="8" t="s">
        <v>197</v>
      </c>
      <c r="F19" s="10" t="s">
        <v>12</v>
      </c>
      <c r="G19" s="11">
        <v>1</v>
      </c>
      <c r="H19" s="12">
        <v>2750000</v>
      </c>
      <c r="I19" s="13">
        <f t="shared" si="0"/>
        <v>2750000</v>
      </c>
      <c r="J19" s="92"/>
      <c r="K19" s="92"/>
      <c r="L19" s="92"/>
      <c r="M19" s="116" t="s">
        <v>142</v>
      </c>
    </row>
    <row r="20" spans="1:439" s="4" customFormat="1" ht="85.15" customHeight="1">
      <c r="A20" s="27">
        <v>12</v>
      </c>
      <c r="B20" s="9" t="s">
        <v>92</v>
      </c>
      <c r="C20" s="82" t="s">
        <v>198</v>
      </c>
      <c r="D20" s="107" t="s">
        <v>201</v>
      </c>
      <c r="E20" s="8" t="s">
        <v>164</v>
      </c>
      <c r="F20" s="10" t="s">
        <v>12</v>
      </c>
      <c r="G20" s="11">
        <v>1</v>
      </c>
      <c r="H20" s="12">
        <f>72030/1.12</f>
        <v>64312.499999999993</v>
      </c>
      <c r="I20" s="13">
        <f t="shared" si="0"/>
        <v>64312.499999999993</v>
      </c>
      <c r="J20" s="92"/>
      <c r="K20" s="92"/>
      <c r="L20" s="92"/>
      <c r="M20" s="116" t="s">
        <v>143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</row>
    <row r="21" spans="1:439" s="4" customFormat="1" ht="72" customHeight="1">
      <c r="A21" s="27">
        <v>13</v>
      </c>
      <c r="B21" s="9" t="s">
        <v>92</v>
      </c>
      <c r="C21" s="83" t="s">
        <v>199</v>
      </c>
      <c r="D21" s="107" t="s">
        <v>202</v>
      </c>
      <c r="E21" s="8" t="s">
        <v>164</v>
      </c>
      <c r="F21" s="10" t="s">
        <v>12</v>
      </c>
      <c r="G21" s="11">
        <v>1</v>
      </c>
      <c r="H21" s="20">
        <f>114292.5/1.12</f>
        <v>102046.87499999999</v>
      </c>
      <c r="I21" s="13">
        <f t="shared" si="0"/>
        <v>102046.87499999999</v>
      </c>
      <c r="J21" s="102"/>
      <c r="K21" s="102"/>
      <c r="L21" s="102"/>
      <c r="M21" s="116" t="s">
        <v>143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</row>
    <row r="22" spans="1:439" s="4" customFormat="1" ht="105" customHeight="1">
      <c r="A22" s="27">
        <v>14</v>
      </c>
      <c r="B22" s="9" t="s">
        <v>92</v>
      </c>
      <c r="C22" s="82" t="s">
        <v>158</v>
      </c>
      <c r="D22" s="107" t="s">
        <v>159</v>
      </c>
      <c r="E22" s="8" t="s">
        <v>164</v>
      </c>
      <c r="F22" s="10" t="s">
        <v>12</v>
      </c>
      <c r="G22" s="11">
        <v>1</v>
      </c>
      <c r="H22" s="20">
        <f>638400/1.12</f>
        <v>570000</v>
      </c>
      <c r="I22" s="13">
        <f t="shared" si="0"/>
        <v>570000</v>
      </c>
      <c r="J22" s="20"/>
      <c r="K22" s="20"/>
      <c r="L22" s="20"/>
      <c r="M22" s="116" t="s">
        <v>143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</row>
    <row r="23" spans="1:439" s="4" customFormat="1" ht="46.9" customHeight="1">
      <c r="A23" s="27">
        <v>15</v>
      </c>
      <c r="B23" s="9" t="s">
        <v>92</v>
      </c>
      <c r="C23" s="82" t="s">
        <v>203</v>
      </c>
      <c r="D23" s="108" t="s">
        <v>200</v>
      </c>
      <c r="E23" s="8" t="s">
        <v>197</v>
      </c>
      <c r="F23" s="10" t="s">
        <v>12</v>
      </c>
      <c r="G23" s="11">
        <v>1</v>
      </c>
      <c r="H23" s="12">
        <f>2280000/1.12</f>
        <v>2035714.2857142854</v>
      </c>
      <c r="I23" s="13">
        <f t="shared" si="0"/>
        <v>2035714.2857142854</v>
      </c>
      <c r="J23" s="102"/>
      <c r="K23" s="102"/>
      <c r="L23" s="102"/>
      <c r="M23" s="116" t="s">
        <v>143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</row>
    <row r="24" spans="1:439" s="4" customFormat="1" ht="75.599999999999994" customHeight="1">
      <c r="A24" s="27">
        <v>16</v>
      </c>
      <c r="B24" s="9" t="s">
        <v>92</v>
      </c>
      <c r="C24" s="82" t="s">
        <v>157</v>
      </c>
      <c r="D24" s="82" t="s">
        <v>150</v>
      </c>
      <c r="E24" s="8" t="s">
        <v>164</v>
      </c>
      <c r="F24" s="10" t="s">
        <v>12</v>
      </c>
      <c r="G24" s="11">
        <v>1</v>
      </c>
      <c r="H24" s="12">
        <f>2657700</f>
        <v>2657700</v>
      </c>
      <c r="I24" s="13">
        <f t="shared" si="0"/>
        <v>2657700</v>
      </c>
      <c r="J24" s="102"/>
      <c r="K24" s="102"/>
      <c r="L24" s="102"/>
      <c r="M24" s="116" t="s">
        <v>143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</row>
    <row r="25" spans="1:439" s="4" customFormat="1" ht="82.9" customHeight="1">
      <c r="A25" s="27">
        <v>17</v>
      </c>
      <c r="B25" s="9" t="s">
        <v>92</v>
      </c>
      <c r="C25" s="82" t="s">
        <v>134</v>
      </c>
      <c r="D25" s="108" t="s">
        <v>132</v>
      </c>
      <c r="E25" s="8" t="s">
        <v>164</v>
      </c>
      <c r="F25" s="10" t="s">
        <v>12</v>
      </c>
      <c r="G25" s="11">
        <v>1</v>
      </c>
      <c r="H25" s="12">
        <f>588588/1.12</f>
        <v>525525</v>
      </c>
      <c r="I25" s="13">
        <f t="shared" si="0"/>
        <v>525525</v>
      </c>
      <c r="J25" s="92"/>
      <c r="K25" s="92"/>
      <c r="L25" s="92"/>
      <c r="M25" s="116" t="s">
        <v>143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</row>
    <row r="26" spans="1:439" s="4" customFormat="1" ht="88.15" customHeight="1">
      <c r="A26" s="27">
        <v>18</v>
      </c>
      <c r="B26" s="9" t="s">
        <v>92</v>
      </c>
      <c r="C26" s="82" t="s">
        <v>135</v>
      </c>
      <c r="D26" s="108" t="s">
        <v>133</v>
      </c>
      <c r="E26" s="8" t="s">
        <v>164</v>
      </c>
      <c r="F26" s="10" t="s">
        <v>12</v>
      </c>
      <c r="G26" s="11">
        <v>1</v>
      </c>
      <c r="H26" s="12">
        <f>695089.5/1.12</f>
        <v>620615.62499999988</v>
      </c>
      <c r="I26" s="13">
        <f t="shared" si="0"/>
        <v>620615.62499999988</v>
      </c>
      <c r="J26" s="92"/>
      <c r="K26" s="92"/>
      <c r="L26" s="92"/>
      <c r="M26" s="116" t="s">
        <v>143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</row>
    <row r="27" spans="1:439" s="4" customFormat="1" ht="36.6" customHeight="1">
      <c r="A27" s="27">
        <v>19</v>
      </c>
      <c r="B27" s="9" t="s">
        <v>92</v>
      </c>
      <c r="C27" s="82" t="s">
        <v>206</v>
      </c>
      <c r="D27" s="106" t="s">
        <v>204</v>
      </c>
      <c r="E27" s="8" t="s">
        <v>164</v>
      </c>
      <c r="F27" s="10" t="s">
        <v>12</v>
      </c>
      <c r="G27" s="11">
        <v>1</v>
      </c>
      <c r="H27" s="12">
        <f>371300</f>
        <v>371300</v>
      </c>
      <c r="I27" s="13">
        <f t="shared" si="0"/>
        <v>371300</v>
      </c>
      <c r="J27" s="92"/>
      <c r="K27" s="92"/>
      <c r="L27" s="92"/>
      <c r="M27" s="116" t="s">
        <v>144</v>
      </c>
      <c r="N27" s="9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</row>
    <row r="28" spans="1:439" s="4" customFormat="1" ht="65.45" customHeight="1">
      <c r="A28" s="27">
        <v>20</v>
      </c>
      <c r="B28" s="9" t="s">
        <v>92</v>
      </c>
      <c r="C28" s="82" t="s">
        <v>207</v>
      </c>
      <c r="D28" s="82" t="s">
        <v>205</v>
      </c>
      <c r="E28" s="8" t="s">
        <v>164</v>
      </c>
      <c r="F28" s="10" t="s">
        <v>12</v>
      </c>
      <c r="G28" s="11">
        <v>1</v>
      </c>
      <c r="H28" s="12">
        <f>5760247.71</f>
        <v>5760247.71</v>
      </c>
      <c r="I28" s="13">
        <f t="shared" si="0"/>
        <v>5760247.71</v>
      </c>
      <c r="J28" s="92"/>
      <c r="K28" s="92"/>
      <c r="L28" s="92"/>
      <c r="M28" s="116" t="s">
        <v>143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</row>
    <row r="29" spans="1:439" s="4" customFormat="1" ht="65.45" customHeight="1">
      <c r="A29" s="27">
        <v>21</v>
      </c>
      <c r="B29" s="9" t="s">
        <v>92</v>
      </c>
      <c r="C29" s="82" t="s">
        <v>152</v>
      </c>
      <c r="D29" s="106" t="s">
        <v>152</v>
      </c>
      <c r="E29" s="8" t="s">
        <v>164</v>
      </c>
      <c r="F29" s="10" t="s">
        <v>18</v>
      </c>
      <c r="G29" s="11">
        <v>4</v>
      </c>
      <c r="H29" s="12">
        <f>82140.8/1.12</f>
        <v>73340</v>
      </c>
      <c r="I29" s="13">
        <f t="shared" si="0"/>
        <v>293360</v>
      </c>
      <c r="J29" s="92"/>
      <c r="K29" s="92"/>
      <c r="L29" s="92"/>
      <c r="M29" s="116" t="s">
        <v>145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</row>
    <row r="30" spans="1:439" s="4" customFormat="1" ht="65.45" customHeight="1">
      <c r="A30" s="27">
        <v>22</v>
      </c>
      <c r="B30" s="9" t="s">
        <v>92</v>
      </c>
      <c r="C30" s="82" t="s">
        <v>216</v>
      </c>
      <c r="D30" s="106" t="s">
        <v>213</v>
      </c>
      <c r="E30" s="8" t="s">
        <v>164</v>
      </c>
      <c r="F30" s="10" t="s">
        <v>18</v>
      </c>
      <c r="G30" s="11">
        <v>6</v>
      </c>
      <c r="H30" s="12">
        <f>34821.92/1.12</f>
        <v>31090.999999999996</v>
      </c>
      <c r="I30" s="13">
        <f t="shared" si="0"/>
        <v>186545.99999999997</v>
      </c>
      <c r="J30" s="92"/>
      <c r="K30" s="92"/>
      <c r="L30" s="92"/>
      <c r="M30" s="116" t="s">
        <v>143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</row>
    <row r="31" spans="1:439" s="4" customFormat="1" ht="79.900000000000006" customHeight="1">
      <c r="A31" s="27">
        <v>23</v>
      </c>
      <c r="B31" s="9" t="s">
        <v>92</v>
      </c>
      <c r="C31" s="82" t="s">
        <v>162</v>
      </c>
      <c r="D31" s="82" t="s">
        <v>214</v>
      </c>
      <c r="E31" s="8" t="s">
        <v>164</v>
      </c>
      <c r="F31" s="10" t="s">
        <v>18</v>
      </c>
      <c r="G31" s="11">
        <v>2</v>
      </c>
      <c r="H31" s="12">
        <f>117866.56/1.12</f>
        <v>105237.99999999999</v>
      </c>
      <c r="I31" s="13">
        <f t="shared" si="0"/>
        <v>210475.99999999997</v>
      </c>
      <c r="J31" s="92"/>
      <c r="K31" s="92"/>
      <c r="L31" s="92"/>
      <c r="M31" s="116" t="s">
        <v>145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</row>
    <row r="32" spans="1:439" s="4" customFormat="1" ht="65.45" customHeight="1">
      <c r="A32" s="27">
        <v>24</v>
      </c>
      <c r="B32" s="9" t="s">
        <v>92</v>
      </c>
      <c r="C32" s="82" t="s">
        <v>217</v>
      </c>
      <c r="D32" s="106" t="s">
        <v>215</v>
      </c>
      <c r="E32" s="8" t="s">
        <v>164</v>
      </c>
      <c r="F32" s="10" t="s">
        <v>18</v>
      </c>
      <c r="G32" s="11">
        <v>2</v>
      </c>
      <c r="H32" s="12">
        <f>117684/1.12</f>
        <v>105074.99999999999</v>
      </c>
      <c r="I32" s="13">
        <f t="shared" si="0"/>
        <v>210149.99999999997</v>
      </c>
      <c r="J32" s="92"/>
      <c r="K32" s="92"/>
      <c r="L32" s="92"/>
      <c r="M32" s="116" t="s">
        <v>145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</row>
    <row r="33" spans="1:439" s="4" customFormat="1" ht="55.9" customHeight="1">
      <c r="A33" s="27">
        <v>25</v>
      </c>
      <c r="B33" s="9" t="s">
        <v>92</v>
      </c>
      <c r="C33" s="82" t="s">
        <v>229</v>
      </c>
      <c r="D33" s="106" t="s">
        <v>218</v>
      </c>
      <c r="E33" s="8" t="s">
        <v>164</v>
      </c>
      <c r="F33" s="10" t="s">
        <v>18</v>
      </c>
      <c r="G33" s="11">
        <v>20</v>
      </c>
      <c r="H33" s="12">
        <f>460/1.12</f>
        <v>410.71428571428567</v>
      </c>
      <c r="I33" s="13">
        <f t="shared" si="0"/>
        <v>8214.2857142857138</v>
      </c>
      <c r="J33" s="92"/>
      <c r="K33" s="92"/>
      <c r="L33" s="92"/>
      <c r="M33" s="116" t="s">
        <v>245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</row>
    <row r="34" spans="1:439" s="4" customFormat="1" ht="59.45" customHeight="1">
      <c r="A34" s="27">
        <v>26</v>
      </c>
      <c r="B34" s="9" t="s">
        <v>92</v>
      </c>
      <c r="C34" s="82" t="s">
        <v>230</v>
      </c>
      <c r="D34" s="106" t="s">
        <v>219</v>
      </c>
      <c r="E34" s="8" t="s">
        <v>164</v>
      </c>
      <c r="F34" s="10" t="s">
        <v>18</v>
      </c>
      <c r="G34" s="11">
        <v>350</v>
      </c>
      <c r="H34" s="12">
        <f>470/1.12</f>
        <v>419.64285714285711</v>
      </c>
      <c r="I34" s="13">
        <f t="shared" si="0"/>
        <v>146875</v>
      </c>
      <c r="J34" s="92"/>
      <c r="K34" s="92"/>
      <c r="L34" s="92"/>
      <c r="M34" s="116" t="s">
        <v>145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</row>
    <row r="35" spans="1:439" s="4" customFormat="1" ht="59.45" customHeight="1">
      <c r="A35" s="27">
        <v>27</v>
      </c>
      <c r="B35" s="9" t="s">
        <v>92</v>
      </c>
      <c r="C35" s="82" t="s">
        <v>231</v>
      </c>
      <c r="D35" s="106" t="s">
        <v>220</v>
      </c>
      <c r="E35" s="8" t="s">
        <v>164</v>
      </c>
      <c r="F35" s="10" t="s">
        <v>18</v>
      </c>
      <c r="G35" s="11">
        <v>504</v>
      </c>
      <c r="H35" s="12">
        <f>130/1.12</f>
        <v>116.07142857142856</v>
      </c>
      <c r="I35" s="13">
        <f t="shared" si="0"/>
        <v>58499.999999999993</v>
      </c>
      <c r="J35" s="92"/>
      <c r="K35" s="92"/>
      <c r="L35" s="92"/>
      <c r="M35" s="116" t="s">
        <v>246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</row>
    <row r="36" spans="1:439" s="4" customFormat="1" ht="60" customHeight="1">
      <c r="A36" s="27">
        <v>28</v>
      </c>
      <c r="B36" s="9" t="s">
        <v>92</v>
      </c>
      <c r="C36" s="82" t="s">
        <v>233</v>
      </c>
      <c r="D36" s="106" t="s">
        <v>235</v>
      </c>
      <c r="E36" s="8" t="s">
        <v>164</v>
      </c>
      <c r="F36" s="10" t="s">
        <v>18</v>
      </c>
      <c r="G36" s="11">
        <v>40</v>
      </c>
      <c r="H36" s="12">
        <f>3822/1.12</f>
        <v>3412.4999999999995</v>
      </c>
      <c r="I36" s="13">
        <f t="shared" si="0"/>
        <v>136499.99999999997</v>
      </c>
      <c r="J36" s="92"/>
      <c r="K36" s="92"/>
      <c r="L36" s="92"/>
      <c r="M36" s="116" t="s">
        <v>246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</row>
    <row r="37" spans="1:439" s="4" customFormat="1" ht="59.45" customHeight="1">
      <c r="A37" s="27">
        <v>29</v>
      </c>
      <c r="B37" s="9" t="s">
        <v>92</v>
      </c>
      <c r="C37" s="82" t="s">
        <v>232</v>
      </c>
      <c r="D37" s="106" t="s">
        <v>236</v>
      </c>
      <c r="E37" s="8" t="s">
        <v>164</v>
      </c>
      <c r="F37" s="10" t="s">
        <v>18</v>
      </c>
      <c r="G37" s="11">
        <v>40</v>
      </c>
      <c r="H37" s="12">
        <f>5733/1.12</f>
        <v>5118.7499999999991</v>
      </c>
      <c r="I37" s="13">
        <f t="shared" si="0"/>
        <v>204749.99999999997</v>
      </c>
      <c r="J37" s="92"/>
      <c r="K37" s="92"/>
      <c r="L37" s="92"/>
      <c r="M37" s="116" t="s">
        <v>246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</row>
    <row r="38" spans="1:439" s="4" customFormat="1" ht="65.45" customHeight="1">
      <c r="A38" s="27">
        <v>30</v>
      </c>
      <c r="B38" s="9" t="s">
        <v>92</v>
      </c>
      <c r="C38" s="82" t="s">
        <v>234</v>
      </c>
      <c r="D38" s="106" t="s">
        <v>237</v>
      </c>
      <c r="E38" s="8" t="s">
        <v>164</v>
      </c>
      <c r="F38" s="10" t="s">
        <v>18</v>
      </c>
      <c r="G38" s="11">
        <v>20</v>
      </c>
      <c r="H38" s="12">
        <f>6879.6/1.12</f>
        <v>6142.5</v>
      </c>
      <c r="I38" s="13">
        <f t="shared" si="0"/>
        <v>122850</v>
      </c>
      <c r="J38" s="92"/>
      <c r="K38" s="92"/>
      <c r="L38" s="92"/>
      <c r="M38" s="116" t="s">
        <v>246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</row>
    <row r="39" spans="1:439" s="4" customFormat="1" ht="65.45" customHeight="1">
      <c r="A39" s="27">
        <v>31</v>
      </c>
      <c r="B39" s="9" t="s">
        <v>92</v>
      </c>
      <c r="C39" s="82" t="s">
        <v>238</v>
      </c>
      <c r="D39" s="106" t="s">
        <v>221</v>
      </c>
      <c r="E39" s="8" t="s">
        <v>164</v>
      </c>
      <c r="F39" s="10" t="s">
        <v>18</v>
      </c>
      <c r="G39" s="11">
        <v>1</v>
      </c>
      <c r="H39" s="12">
        <f>58106.16/1.12</f>
        <v>51880.5</v>
      </c>
      <c r="I39" s="13">
        <f t="shared" si="0"/>
        <v>51880.5</v>
      </c>
      <c r="J39" s="92"/>
      <c r="K39" s="92"/>
      <c r="L39" s="92"/>
      <c r="M39" s="116" t="s">
        <v>246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</row>
    <row r="40" spans="1:439" s="4" customFormat="1" ht="65.45" customHeight="1">
      <c r="A40" s="27">
        <v>32</v>
      </c>
      <c r="B40" s="9" t="s">
        <v>92</v>
      </c>
      <c r="C40" s="82" t="s">
        <v>239</v>
      </c>
      <c r="D40" s="106" t="s">
        <v>222</v>
      </c>
      <c r="E40" s="8" t="s">
        <v>164</v>
      </c>
      <c r="F40" s="10" t="s">
        <v>18</v>
      </c>
      <c r="G40" s="11">
        <v>75</v>
      </c>
      <c r="H40" s="12">
        <f>3752.616/1.12</f>
        <v>3350.5499999999997</v>
      </c>
      <c r="I40" s="13">
        <f t="shared" si="0"/>
        <v>251291.24999999997</v>
      </c>
      <c r="J40" s="92"/>
      <c r="K40" s="92"/>
      <c r="L40" s="92"/>
      <c r="M40" s="116" t="s">
        <v>246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</row>
    <row r="41" spans="1:439" s="4" customFormat="1" ht="60" customHeight="1">
      <c r="A41" s="27">
        <v>33</v>
      </c>
      <c r="B41" s="9" t="s">
        <v>92</v>
      </c>
      <c r="C41" s="82" t="s">
        <v>240</v>
      </c>
      <c r="D41" s="106" t="s">
        <v>223</v>
      </c>
      <c r="E41" s="8" t="s">
        <v>164</v>
      </c>
      <c r="F41" s="10" t="s">
        <v>18</v>
      </c>
      <c r="G41" s="11">
        <v>3</v>
      </c>
      <c r="H41" s="12">
        <f>376.32/1.12</f>
        <v>335.99999999999994</v>
      </c>
      <c r="I41" s="13">
        <f t="shared" si="0"/>
        <v>1007.9999999999998</v>
      </c>
      <c r="J41" s="92"/>
      <c r="K41" s="92"/>
      <c r="L41" s="92"/>
      <c r="M41" s="116" t="s">
        <v>246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</row>
    <row r="42" spans="1:439" s="4" customFormat="1" ht="65.45" customHeight="1">
      <c r="A42" s="27">
        <v>34</v>
      </c>
      <c r="B42" s="9" t="s">
        <v>92</v>
      </c>
      <c r="C42" s="82" t="s">
        <v>241</v>
      </c>
      <c r="D42" s="106" t="s">
        <v>224</v>
      </c>
      <c r="E42" s="8" t="s">
        <v>164</v>
      </c>
      <c r="F42" s="10" t="s">
        <v>18</v>
      </c>
      <c r="G42" s="11">
        <v>3</v>
      </c>
      <c r="H42" s="12">
        <f>352.8/1.12</f>
        <v>315</v>
      </c>
      <c r="I42" s="13">
        <f t="shared" si="0"/>
        <v>945</v>
      </c>
      <c r="J42" s="92"/>
      <c r="K42" s="92"/>
      <c r="L42" s="92"/>
      <c r="M42" s="116" t="s">
        <v>246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</row>
    <row r="43" spans="1:439" s="4" customFormat="1" ht="65.45" customHeight="1">
      <c r="A43" s="27">
        <v>35</v>
      </c>
      <c r="B43" s="9" t="s">
        <v>92</v>
      </c>
      <c r="C43" s="82" t="s">
        <v>242</v>
      </c>
      <c r="D43" s="106" t="s">
        <v>225</v>
      </c>
      <c r="E43" s="8" t="s">
        <v>164</v>
      </c>
      <c r="F43" s="10" t="s">
        <v>18</v>
      </c>
      <c r="G43" s="11">
        <v>60</v>
      </c>
      <c r="H43" s="12">
        <f>353.976/1.12</f>
        <v>316.04999999999995</v>
      </c>
      <c r="I43" s="13">
        <f t="shared" si="0"/>
        <v>18962.999999999996</v>
      </c>
      <c r="J43" s="92"/>
      <c r="K43" s="92"/>
      <c r="L43" s="92"/>
      <c r="M43" s="116" t="s">
        <v>246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</row>
    <row r="44" spans="1:439" s="4" customFormat="1" ht="65.45" customHeight="1">
      <c r="A44" s="27">
        <v>36</v>
      </c>
      <c r="B44" s="9" t="s">
        <v>92</v>
      </c>
      <c r="C44" s="82" t="s">
        <v>226</v>
      </c>
      <c r="D44" s="106" t="s">
        <v>226</v>
      </c>
      <c r="E44" s="8" t="s">
        <v>164</v>
      </c>
      <c r="F44" s="10" t="s">
        <v>18</v>
      </c>
      <c r="G44" s="11">
        <v>40</v>
      </c>
      <c r="H44" s="12">
        <f>1669.92/1.12</f>
        <v>1491</v>
      </c>
      <c r="I44" s="13">
        <f t="shared" si="0"/>
        <v>59640</v>
      </c>
      <c r="J44" s="92"/>
      <c r="K44" s="92"/>
      <c r="L44" s="92"/>
      <c r="M44" s="116" t="s">
        <v>246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</row>
    <row r="45" spans="1:439" s="4" customFormat="1" ht="65.45" customHeight="1">
      <c r="A45" s="27">
        <v>37</v>
      </c>
      <c r="B45" s="9" t="s">
        <v>92</v>
      </c>
      <c r="C45" s="82" t="s">
        <v>243</v>
      </c>
      <c r="D45" s="106" t="s">
        <v>227</v>
      </c>
      <c r="E45" s="8" t="s">
        <v>164</v>
      </c>
      <c r="F45" s="10" t="s">
        <v>18</v>
      </c>
      <c r="G45" s="11">
        <v>500</v>
      </c>
      <c r="H45" s="12">
        <f>1.232/1.12</f>
        <v>1.0999999999999999</v>
      </c>
      <c r="I45" s="13">
        <f t="shared" si="0"/>
        <v>549.99999999999989</v>
      </c>
      <c r="J45" s="92"/>
      <c r="K45" s="92"/>
      <c r="L45" s="92"/>
      <c r="M45" s="116" t="s">
        <v>246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</row>
    <row r="46" spans="1:439" s="4" customFormat="1" ht="65.45" customHeight="1">
      <c r="A46" s="27">
        <v>38</v>
      </c>
      <c r="B46" s="9" t="s">
        <v>92</v>
      </c>
      <c r="C46" s="82" t="s">
        <v>244</v>
      </c>
      <c r="D46" s="106" t="s">
        <v>228</v>
      </c>
      <c r="E46" s="8" t="s">
        <v>164</v>
      </c>
      <c r="F46" s="10" t="s">
        <v>18</v>
      </c>
      <c r="G46" s="11">
        <v>10</v>
      </c>
      <c r="H46" s="12">
        <f>1105.44/1.12</f>
        <v>987</v>
      </c>
      <c r="I46" s="13">
        <f t="shared" si="0"/>
        <v>9870</v>
      </c>
      <c r="J46" s="92"/>
      <c r="K46" s="92"/>
      <c r="L46" s="92"/>
      <c r="M46" s="116" t="s">
        <v>246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</row>
    <row r="47" spans="1:439" s="4" customFormat="1" ht="65.45" customHeight="1">
      <c r="A47" s="27">
        <v>39</v>
      </c>
      <c r="B47" s="9" t="s">
        <v>92</v>
      </c>
      <c r="C47" s="82" t="s">
        <v>247</v>
      </c>
      <c r="D47" s="106" t="s">
        <v>153</v>
      </c>
      <c r="E47" s="8" t="s">
        <v>164</v>
      </c>
      <c r="F47" s="10" t="s">
        <v>18</v>
      </c>
      <c r="G47" s="11">
        <v>5</v>
      </c>
      <c r="H47" s="12">
        <f>3281.6/1.12</f>
        <v>2929.9999999999995</v>
      </c>
      <c r="I47" s="13">
        <f t="shared" si="0"/>
        <v>14649.999999999998</v>
      </c>
      <c r="J47" s="92"/>
      <c r="K47" s="92"/>
      <c r="L47" s="92"/>
      <c r="M47" s="116" t="s">
        <v>145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</row>
    <row r="48" spans="1:439" s="4" customFormat="1" ht="65.45" customHeight="1">
      <c r="A48" s="27">
        <v>40</v>
      </c>
      <c r="B48" s="9" t="s">
        <v>92</v>
      </c>
      <c r="C48" s="82" t="s">
        <v>248</v>
      </c>
      <c r="D48" s="106" t="s">
        <v>155</v>
      </c>
      <c r="E48" s="8" t="s">
        <v>164</v>
      </c>
      <c r="F48" s="10" t="s">
        <v>18</v>
      </c>
      <c r="G48" s="11">
        <v>120</v>
      </c>
      <c r="H48" s="12">
        <f>1680/1.12</f>
        <v>1499.9999999999998</v>
      </c>
      <c r="I48" s="13">
        <f t="shared" si="0"/>
        <v>179999.99999999997</v>
      </c>
      <c r="J48" s="92"/>
      <c r="K48" s="92"/>
      <c r="L48" s="92"/>
      <c r="M48" s="116" t="s">
        <v>145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</row>
    <row r="49" spans="1:439" s="4" customFormat="1" ht="65.45" customHeight="1">
      <c r="A49" s="27">
        <v>41</v>
      </c>
      <c r="B49" s="9" t="s">
        <v>92</v>
      </c>
      <c r="C49" s="82" t="s">
        <v>249</v>
      </c>
      <c r="D49" s="106" t="s">
        <v>154</v>
      </c>
      <c r="E49" s="8" t="s">
        <v>164</v>
      </c>
      <c r="F49" s="10" t="s">
        <v>18</v>
      </c>
      <c r="G49" s="11">
        <v>2000</v>
      </c>
      <c r="H49" s="12">
        <f>87.36/1.12</f>
        <v>77.999999999999986</v>
      </c>
      <c r="I49" s="13">
        <f t="shared" si="0"/>
        <v>155999.99999999997</v>
      </c>
      <c r="J49" s="92"/>
      <c r="K49" s="92"/>
      <c r="L49" s="92"/>
      <c r="M49" s="116" t="s">
        <v>246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</row>
    <row r="50" spans="1:439" s="4" customFormat="1" ht="35.450000000000003" customHeight="1">
      <c r="A50" s="27">
        <v>42</v>
      </c>
      <c r="B50" s="9" t="s">
        <v>92</v>
      </c>
      <c r="C50" s="82" t="s">
        <v>210</v>
      </c>
      <c r="D50" s="106" t="s">
        <v>208</v>
      </c>
      <c r="E50" s="8" t="s">
        <v>164</v>
      </c>
      <c r="F50" s="10" t="s">
        <v>18</v>
      </c>
      <c r="G50" s="11">
        <v>3</v>
      </c>
      <c r="H50" s="12">
        <f>7800/1.12</f>
        <v>6964.2857142857138</v>
      </c>
      <c r="I50" s="13">
        <f t="shared" si="0"/>
        <v>20892.857142857141</v>
      </c>
      <c r="J50" s="92"/>
      <c r="K50" s="92"/>
      <c r="L50" s="92"/>
      <c r="M50" s="116" t="s">
        <v>143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</row>
    <row r="51" spans="1:439" s="4" customFormat="1" ht="37.15" customHeight="1">
      <c r="A51" s="27">
        <v>43</v>
      </c>
      <c r="B51" s="9" t="s">
        <v>92</v>
      </c>
      <c r="C51" s="82" t="s">
        <v>211</v>
      </c>
      <c r="D51" s="106" t="s">
        <v>151</v>
      </c>
      <c r="E51" s="8" t="s">
        <v>164</v>
      </c>
      <c r="F51" s="10" t="s">
        <v>18</v>
      </c>
      <c r="G51" s="11">
        <v>10</v>
      </c>
      <c r="H51" s="12">
        <f>435/1.12</f>
        <v>388.39285714285711</v>
      </c>
      <c r="I51" s="13">
        <f t="shared" si="0"/>
        <v>3883.9285714285711</v>
      </c>
      <c r="J51" s="92"/>
      <c r="K51" s="92"/>
      <c r="L51" s="92"/>
      <c r="M51" s="116" t="s">
        <v>143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</row>
    <row r="52" spans="1:439" s="4" customFormat="1" ht="36" customHeight="1">
      <c r="A52" s="27">
        <v>44</v>
      </c>
      <c r="B52" s="9" t="s">
        <v>92</v>
      </c>
      <c r="C52" s="82" t="s">
        <v>212</v>
      </c>
      <c r="D52" s="106" t="s">
        <v>209</v>
      </c>
      <c r="E52" s="8" t="s">
        <v>164</v>
      </c>
      <c r="F52" s="10" t="s">
        <v>18</v>
      </c>
      <c r="G52" s="11">
        <v>10</v>
      </c>
      <c r="H52" s="12">
        <f>390/1.12</f>
        <v>348.21428571428567</v>
      </c>
      <c r="I52" s="13">
        <f t="shared" si="0"/>
        <v>3482.1428571428569</v>
      </c>
      <c r="J52" s="92"/>
      <c r="K52" s="92"/>
      <c r="L52" s="92"/>
      <c r="M52" s="116" t="s">
        <v>143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</row>
    <row r="53" spans="1:439" s="4" customFormat="1" ht="51.6" customHeight="1">
      <c r="A53" s="27">
        <v>45</v>
      </c>
      <c r="B53" s="9" t="s">
        <v>92</v>
      </c>
      <c r="C53" s="82" t="s">
        <v>258</v>
      </c>
      <c r="D53" s="82" t="s">
        <v>136</v>
      </c>
      <c r="E53" s="8" t="s">
        <v>164</v>
      </c>
      <c r="F53" s="10" t="s">
        <v>12</v>
      </c>
      <c r="G53" s="11">
        <v>1</v>
      </c>
      <c r="H53" s="12">
        <f>114000</f>
        <v>114000</v>
      </c>
      <c r="I53" s="13">
        <f t="shared" si="0"/>
        <v>114000</v>
      </c>
      <c r="J53" s="92"/>
      <c r="K53" s="92"/>
      <c r="L53" s="92"/>
      <c r="M53" s="116" t="s">
        <v>143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</row>
    <row r="54" spans="1:439" s="4" customFormat="1" ht="57.6" customHeight="1">
      <c r="A54" s="27">
        <v>46</v>
      </c>
      <c r="B54" s="9" t="s">
        <v>92</v>
      </c>
      <c r="C54" s="82" t="s">
        <v>251</v>
      </c>
      <c r="D54" s="106" t="s">
        <v>259</v>
      </c>
      <c r="E54" s="8" t="s">
        <v>164</v>
      </c>
      <c r="F54" s="10" t="s">
        <v>12</v>
      </c>
      <c r="G54" s="11">
        <v>1</v>
      </c>
      <c r="H54" s="12">
        <f>222000</f>
        <v>222000</v>
      </c>
      <c r="I54" s="13">
        <f t="shared" si="0"/>
        <v>222000</v>
      </c>
      <c r="J54" s="109"/>
      <c r="K54" s="92"/>
      <c r="L54" s="92"/>
      <c r="M54" s="116" t="s">
        <v>145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</row>
    <row r="55" spans="1:439" s="4" customFormat="1" ht="36" customHeight="1">
      <c r="A55" s="27">
        <v>47</v>
      </c>
      <c r="B55" s="9" t="s">
        <v>92</v>
      </c>
      <c r="C55" s="106" t="s">
        <v>250</v>
      </c>
      <c r="D55" s="111" t="s">
        <v>250</v>
      </c>
      <c r="E55" s="8" t="s">
        <v>164</v>
      </c>
      <c r="F55" s="10" t="s">
        <v>12</v>
      </c>
      <c r="G55" s="11">
        <v>1</v>
      </c>
      <c r="H55" s="12">
        <f>245000</f>
        <v>245000</v>
      </c>
      <c r="I55" s="13">
        <f t="shared" si="0"/>
        <v>245000</v>
      </c>
      <c r="J55" s="109"/>
      <c r="K55" s="92"/>
      <c r="L55" s="92"/>
      <c r="M55" s="116" t="s">
        <v>145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</row>
    <row r="56" spans="1:439" s="4" customFormat="1" ht="41.45" customHeight="1">
      <c r="A56" s="27">
        <v>48</v>
      </c>
      <c r="B56" s="9" t="s">
        <v>92</v>
      </c>
      <c r="C56" s="110" t="s">
        <v>255</v>
      </c>
      <c r="D56" s="111" t="s">
        <v>252</v>
      </c>
      <c r="E56" s="8" t="s">
        <v>164</v>
      </c>
      <c r="F56" s="10" t="s">
        <v>12</v>
      </c>
      <c r="G56" s="11">
        <v>1</v>
      </c>
      <c r="H56" s="12">
        <f>200000/1.12</f>
        <v>178571.42857142855</v>
      </c>
      <c r="I56" s="13">
        <f t="shared" si="0"/>
        <v>178571.42857142855</v>
      </c>
      <c r="J56" s="92"/>
      <c r="K56" s="92"/>
      <c r="L56" s="92"/>
      <c r="M56" s="116" t="s">
        <v>143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</row>
    <row r="57" spans="1:439" s="4" customFormat="1" ht="37.15" customHeight="1">
      <c r="A57" s="27">
        <v>49</v>
      </c>
      <c r="B57" s="9" t="s">
        <v>92</v>
      </c>
      <c r="C57" s="110" t="s">
        <v>256</v>
      </c>
      <c r="D57" s="111" t="s">
        <v>253</v>
      </c>
      <c r="E57" s="8" t="s">
        <v>164</v>
      </c>
      <c r="F57" s="10" t="s">
        <v>12</v>
      </c>
      <c r="G57" s="11">
        <v>1</v>
      </c>
      <c r="H57" s="12">
        <f>950000/1.12</f>
        <v>848214.28571428568</v>
      </c>
      <c r="I57" s="13">
        <f t="shared" si="0"/>
        <v>848214.28571428568</v>
      </c>
      <c r="J57" s="92"/>
      <c r="K57" s="92"/>
      <c r="L57" s="92"/>
      <c r="M57" s="116" t="s">
        <v>143</v>
      </c>
      <c r="N57" s="98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</row>
    <row r="58" spans="1:439" s="4" customFormat="1" ht="33" customHeight="1">
      <c r="A58" s="27">
        <v>50</v>
      </c>
      <c r="B58" s="9" t="s">
        <v>92</v>
      </c>
      <c r="C58" s="110" t="s">
        <v>257</v>
      </c>
      <c r="D58" s="111" t="s">
        <v>254</v>
      </c>
      <c r="E58" s="8" t="s">
        <v>164</v>
      </c>
      <c r="F58" s="10" t="s">
        <v>12</v>
      </c>
      <c r="G58" s="11">
        <v>1</v>
      </c>
      <c r="H58" s="12">
        <f>600000</f>
        <v>600000</v>
      </c>
      <c r="I58" s="13">
        <f t="shared" si="0"/>
        <v>600000</v>
      </c>
      <c r="J58" s="92"/>
      <c r="K58" s="92"/>
      <c r="L58" s="92"/>
      <c r="M58" s="116" t="s">
        <v>245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</row>
    <row r="59" spans="1:439" s="4" customFormat="1" ht="70.900000000000006" customHeight="1">
      <c r="A59" s="27">
        <v>51</v>
      </c>
      <c r="B59" s="9" t="s">
        <v>92</v>
      </c>
      <c r="C59" s="82" t="s">
        <v>261</v>
      </c>
      <c r="D59" s="111" t="s">
        <v>260</v>
      </c>
      <c r="E59" s="8" t="s">
        <v>164</v>
      </c>
      <c r="F59" s="10" t="s">
        <v>12</v>
      </c>
      <c r="G59" s="11">
        <v>1</v>
      </c>
      <c r="H59" s="12">
        <v>7864612</v>
      </c>
      <c r="I59" s="13">
        <f t="shared" si="0"/>
        <v>7864612</v>
      </c>
      <c r="J59" s="92"/>
      <c r="K59" s="92"/>
      <c r="L59" s="92"/>
      <c r="M59" s="116" t="s">
        <v>143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</row>
    <row r="60" spans="1:439" s="4" customFormat="1" ht="70.900000000000006" customHeight="1">
      <c r="A60" s="27">
        <v>52</v>
      </c>
      <c r="B60" s="9" t="s">
        <v>92</v>
      </c>
      <c r="C60" s="82" t="s">
        <v>263</v>
      </c>
      <c r="D60" s="111" t="s">
        <v>262</v>
      </c>
      <c r="E60" s="8" t="s">
        <v>164</v>
      </c>
      <c r="F60" s="10" t="s">
        <v>12</v>
      </c>
      <c r="G60" s="11">
        <v>1</v>
      </c>
      <c r="H60" s="12">
        <v>7934500</v>
      </c>
      <c r="I60" s="13">
        <f t="shared" si="0"/>
        <v>7934500</v>
      </c>
      <c r="J60" s="92"/>
      <c r="K60" s="92"/>
      <c r="L60" s="92"/>
      <c r="M60" s="116" t="s">
        <v>143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</row>
    <row r="61" spans="1:439" s="4" customFormat="1" ht="59.45" customHeight="1">
      <c r="A61" s="27">
        <v>53</v>
      </c>
      <c r="B61" s="9" t="s">
        <v>92</v>
      </c>
      <c r="C61" s="111" t="s">
        <v>163</v>
      </c>
      <c r="D61" s="111" t="s">
        <v>163</v>
      </c>
      <c r="E61" s="8" t="s">
        <v>164</v>
      </c>
      <c r="F61" s="10" t="s">
        <v>12</v>
      </c>
      <c r="G61" s="11">
        <v>1</v>
      </c>
      <c r="H61" s="12">
        <f>1040898.6/1.12</f>
        <v>929373.74999999988</v>
      </c>
      <c r="I61" s="13">
        <f t="shared" si="0"/>
        <v>929373.74999999988</v>
      </c>
      <c r="J61" s="92"/>
      <c r="K61" s="92"/>
      <c r="L61" s="92"/>
      <c r="M61" s="116" t="s">
        <v>143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</row>
    <row r="62" spans="1:439" s="4" customFormat="1" ht="68.45" customHeight="1">
      <c r="A62" s="27">
        <v>54</v>
      </c>
      <c r="B62" s="9" t="s">
        <v>92</v>
      </c>
      <c r="C62" s="82" t="s">
        <v>266</v>
      </c>
      <c r="D62" s="111" t="s">
        <v>264</v>
      </c>
      <c r="E62" s="8" t="s">
        <v>164</v>
      </c>
      <c r="F62" s="10" t="s">
        <v>12</v>
      </c>
      <c r="G62" s="11">
        <v>1</v>
      </c>
      <c r="H62" s="12">
        <v>1436688</v>
      </c>
      <c r="I62" s="13">
        <f t="shared" si="0"/>
        <v>1436688</v>
      </c>
      <c r="J62" s="92"/>
      <c r="K62" s="92"/>
      <c r="L62" s="92"/>
      <c r="M62" s="116" t="s">
        <v>143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</row>
    <row r="63" spans="1:439" s="4" customFormat="1" ht="96.6" customHeight="1">
      <c r="A63" s="27">
        <v>55</v>
      </c>
      <c r="B63" s="9" t="s">
        <v>92</v>
      </c>
      <c r="C63" s="82" t="s">
        <v>267</v>
      </c>
      <c r="D63" s="111" t="s">
        <v>265</v>
      </c>
      <c r="E63" s="8" t="s">
        <v>164</v>
      </c>
      <c r="F63" s="10" t="s">
        <v>12</v>
      </c>
      <c r="G63" s="11">
        <v>1</v>
      </c>
      <c r="H63" s="12">
        <v>927696</v>
      </c>
      <c r="I63" s="13">
        <f t="shared" si="0"/>
        <v>927696</v>
      </c>
      <c r="J63" s="13"/>
      <c r="K63" s="13"/>
      <c r="L63" s="13"/>
      <c r="M63" s="116" t="s">
        <v>143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</row>
    <row r="64" spans="1:439" s="4" customFormat="1" ht="70.900000000000006" customHeight="1">
      <c r="A64" s="27">
        <v>56</v>
      </c>
      <c r="B64" s="9" t="s">
        <v>92</v>
      </c>
      <c r="C64" s="82" t="s">
        <v>140</v>
      </c>
      <c r="D64" s="111" t="s">
        <v>137</v>
      </c>
      <c r="E64" s="8" t="s">
        <v>164</v>
      </c>
      <c r="F64" s="10" t="s">
        <v>12</v>
      </c>
      <c r="G64" s="11">
        <v>1</v>
      </c>
      <c r="H64" s="12">
        <v>849170.93</v>
      </c>
      <c r="I64" s="13">
        <f t="shared" si="0"/>
        <v>849170.93</v>
      </c>
      <c r="J64" s="92"/>
      <c r="K64" s="92"/>
      <c r="L64" s="92"/>
      <c r="M64" s="116" t="s">
        <v>143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</row>
    <row r="65" spans="1:439" s="4" customFormat="1" ht="67.150000000000006" customHeight="1">
      <c r="A65" s="27">
        <v>57</v>
      </c>
      <c r="B65" s="9" t="s">
        <v>92</v>
      </c>
      <c r="C65" s="82" t="s">
        <v>139</v>
      </c>
      <c r="D65" s="82" t="s">
        <v>138</v>
      </c>
      <c r="E65" s="8" t="s">
        <v>164</v>
      </c>
      <c r="F65" s="10" t="s">
        <v>12</v>
      </c>
      <c r="G65" s="11">
        <v>1</v>
      </c>
      <c r="H65" s="12">
        <f>46568.55/1.12</f>
        <v>41579.0625</v>
      </c>
      <c r="I65" s="13">
        <f t="shared" si="0"/>
        <v>41579.0625</v>
      </c>
      <c r="J65" s="13"/>
      <c r="K65" s="13"/>
      <c r="L65" s="13"/>
      <c r="M65" s="116" t="s">
        <v>145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</row>
    <row r="66" spans="1:439" s="4" customFormat="1" ht="86.45" customHeight="1">
      <c r="A66" s="27">
        <v>58</v>
      </c>
      <c r="B66" s="9" t="s">
        <v>92</v>
      </c>
      <c r="C66" s="82" t="s">
        <v>269</v>
      </c>
      <c r="D66" s="82" t="s">
        <v>148</v>
      </c>
      <c r="E66" s="8" t="s">
        <v>164</v>
      </c>
      <c r="F66" s="10" t="s">
        <v>12</v>
      </c>
      <c r="G66" s="11">
        <v>1</v>
      </c>
      <c r="H66" s="12">
        <f>967518.72/1.12</f>
        <v>863855.99999999988</v>
      </c>
      <c r="I66" s="13">
        <f t="shared" si="0"/>
        <v>863855.99999999988</v>
      </c>
      <c r="J66" s="92"/>
      <c r="K66" s="92"/>
      <c r="L66" s="92"/>
      <c r="M66" s="116" t="s">
        <v>143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</row>
    <row r="67" spans="1:439" s="4" customFormat="1" ht="41.45" customHeight="1">
      <c r="A67" s="27">
        <v>59</v>
      </c>
      <c r="B67" s="9" t="s">
        <v>92</v>
      </c>
      <c r="C67" s="82" t="s">
        <v>270</v>
      </c>
      <c r="D67" s="82" t="s">
        <v>268</v>
      </c>
      <c r="E67" s="8" t="s">
        <v>164</v>
      </c>
      <c r="F67" s="10" t="s">
        <v>12</v>
      </c>
      <c r="G67" s="11">
        <v>1</v>
      </c>
      <c r="H67" s="12">
        <v>403716</v>
      </c>
      <c r="I67" s="13">
        <f t="shared" si="0"/>
        <v>403716</v>
      </c>
      <c r="J67" s="92"/>
      <c r="K67" s="92"/>
      <c r="L67" s="92"/>
      <c r="M67" s="116" t="s">
        <v>143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</row>
    <row r="68" spans="1:439" s="4" customFormat="1" ht="48.6" customHeight="1">
      <c r="A68" s="27">
        <v>60</v>
      </c>
      <c r="B68" s="9" t="s">
        <v>92</v>
      </c>
      <c r="C68" s="82" t="s">
        <v>147</v>
      </c>
      <c r="D68" s="82" t="s">
        <v>27</v>
      </c>
      <c r="E68" s="8" t="s">
        <v>164</v>
      </c>
      <c r="F68" s="10" t="s">
        <v>12</v>
      </c>
      <c r="G68" s="11">
        <v>1</v>
      </c>
      <c r="H68" s="12">
        <v>275000</v>
      </c>
      <c r="I68" s="13">
        <f t="shared" si="0"/>
        <v>275000</v>
      </c>
      <c r="J68" s="13"/>
      <c r="K68" s="13"/>
      <c r="L68" s="13"/>
      <c r="M68" s="116" t="s">
        <v>143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</row>
    <row r="69" spans="1:439" s="4" customFormat="1" ht="76.150000000000006" customHeight="1">
      <c r="A69" s="27">
        <v>61</v>
      </c>
      <c r="B69" s="9" t="s">
        <v>92</v>
      </c>
      <c r="C69" s="82" t="s">
        <v>141</v>
      </c>
      <c r="D69" s="82" t="s">
        <v>28</v>
      </c>
      <c r="E69" s="8" t="s">
        <v>164</v>
      </c>
      <c r="F69" s="10" t="s">
        <v>12</v>
      </c>
      <c r="G69" s="11">
        <v>1</v>
      </c>
      <c r="H69" s="12">
        <f>40000/1.12</f>
        <v>35714.28571428571</v>
      </c>
      <c r="I69" s="13">
        <f t="shared" si="0"/>
        <v>35714.28571428571</v>
      </c>
      <c r="J69" s="13"/>
      <c r="K69" s="13"/>
      <c r="L69" s="13"/>
      <c r="M69" s="116" t="s">
        <v>143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</row>
    <row r="70" spans="1:439" s="3" customFormat="1" ht="58.15" customHeight="1">
      <c r="A70" s="27">
        <v>62</v>
      </c>
      <c r="B70" s="9" t="s">
        <v>92</v>
      </c>
      <c r="C70" s="82" t="s">
        <v>29</v>
      </c>
      <c r="D70" s="82" t="s">
        <v>30</v>
      </c>
      <c r="E70" s="8" t="s">
        <v>164</v>
      </c>
      <c r="F70" s="10" t="s">
        <v>12</v>
      </c>
      <c r="G70" s="11">
        <v>1</v>
      </c>
      <c r="H70" s="12">
        <v>184381.82</v>
      </c>
      <c r="I70" s="13">
        <f t="shared" si="0"/>
        <v>184381.82</v>
      </c>
      <c r="J70" s="92"/>
      <c r="K70" s="92"/>
      <c r="L70" s="92"/>
      <c r="M70" s="116" t="s">
        <v>143</v>
      </c>
      <c r="N70" s="74"/>
    </row>
    <row r="71" spans="1:439" s="3" customFormat="1" ht="58.15" customHeight="1">
      <c r="A71" s="27">
        <v>63</v>
      </c>
      <c r="B71" s="9" t="s">
        <v>92</v>
      </c>
      <c r="C71" s="82" t="s">
        <v>272</v>
      </c>
      <c r="D71" s="82" t="s">
        <v>271</v>
      </c>
      <c r="E71" s="8" t="s">
        <v>164</v>
      </c>
      <c r="F71" s="10" t="s">
        <v>12</v>
      </c>
      <c r="G71" s="11">
        <v>1</v>
      </c>
      <c r="H71" s="12">
        <v>21720076.219999999</v>
      </c>
      <c r="I71" s="13">
        <f t="shared" si="0"/>
        <v>21720076.219999999</v>
      </c>
      <c r="J71" s="92"/>
      <c r="K71" s="92"/>
      <c r="L71" s="92"/>
      <c r="M71" s="116" t="s">
        <v>143</v>
      </c>
      <c r="N71" s="74"/>
    </row>
    <row r="72" spans="1:439" s="3" customFormat="1" ht="58.15" customHeight="1">
      <c r="A72" s="27">
        <v>64</v>
      </c>
      <c r="B72" s="9" t="s">
        <v>92</v>
      </c>
      <c r="C72" s="82" t="s">
        <v>31</v>
      </c>
      <c r="D72" s="82" t="s">
        <v>32</v>
      </c>
      <c r="E72" s="8" t="s">
        <v>164</v>
      </c>
      <c r="F72" s="10" t="s">
        <v>12</v>
      </c>
      <c r="G72" s="11">
        <v>1</v>
      </c>
      <c r="H72" s="12">
        <f>4851848.01+2053683.21</f>
        <v>6905531.2199999997</v>
      </c>
      <c r="I72" s="13">
        <f t="shared" si="0"/>
        <v>6905531.2199999997</v>
      </c>
      <c r="J72" s="113"/>
      <c r="K72" s="92"/>
      <c r="L72" s="92"/>
      <c r="M72" s="116" t="s">
        <v>143</v>
      </c>
      <c r="N72" s="74"/>
    </row>
    <row r="73" spans="1:439" s="3" customFormat="1" ht="58.15" customHeight="1">
      <c r="A73" s="27">
        <v>65</v>
      </c>
      <c r="B73" s="9" t="s">
        <v>92</v>
      </c>
      <c r="C73" s="82" t="s">
        <v>33</v>
      </c>
      <c r="D73" s="82" t="s">
        <v>318</v>
      </c>
      <c r="E73" s="8" t="s">
        <v>165</v>
      </c>
      <c r="F73" s="10" t="s">
        <v>12</v>
      </c>
      <c r="G73" s="11">
        <v>1</v>
      </c>
      <c r="H73" s="12">
        <f>22932000/1.12</f>
        <v>20474999.999999996</v>
      </c>
      <c r="I73" s="13">
        <f t="shared" si="0"/>
        <v>20474999.999999996</v>
      </c>
      <c r="J73" s="92"/>
      <c r="K73" s="92"/>
      <c r="L73" s="92"/>
      <c r="M73" s="99" t="s">
        <v>145</v>
      </c>
      <c r="N73" s="74"/>
    </row>
    <row r="74" spans="1:439" s="3" customFormat="1" ht="58.15" customHeight="1">
      <c r="A74" s="27">
        <v>66</v>
      </c>
      <c r="B74" s="9" t="s">
        <v>92</v>
      </c>
      <c r="C74" s="82" t="s">
        <v>274</v>
      </c>
      <c r="D74" s="82" t="s">
        <v>273</v>
      </c>
      <c r="E74" s="8" t="s">
        <v>164</v>
      </c>
      <c r="F74" s="10" t="s">
        <v>12</v>
      </c>
      <c r="G74" s="11">
        <v>1</v>
      </c>
      <c r="H74" s="12">
        <f>16447.2</f>
        <v>16447.2</v>
      </c>
      <c r="I74" s="13">
        <f t="shared" si="0"/>
        <v>16447.2</v>
      </c>
      <c r="J74" s="92"/>
      <c r="K74" s="92"/>
      <c r="L74" s="92"/>
      <c r="M74" s="116" t="s">
        <v>143</v>
      </c>
      <c r="N74" s="74"/>
    </row>
    <row r="75" spans="1:439" s="3" customFormat="1" ht="58.15" customHeight="1">
      <c r="A75" s="27">
        <v>67</v>
      </c>
      <c r="B75" s="9" t="s">
        <v>92</v>
      </c>
      <c r="C75" s="82" t="s">
        <v>276</v>
      </c>
      <c r="D75" s="82" t="s">
        <v>275</v>
      </c>
      <c r="E75" s="8" t="s">
        <v>164</v>
      </c>
      <c r="F75" s="10" t="s">
        <v>18</v>
      </c>
      <c r="G75" s="11">
        <v>500</v>
      </c>
      <c r="H75" s="12">
        <f>57</f>
        <v>57</v>
      </c>
      <c r="I75" s="13">
        <f t="shared" si="0"/>
        <v>28500</v>
      </c>
      <c r="J75" s="92"/>
      <c r="K75" s="92"/>
      <c r="L75" s="92"/>
      <c r="M75" s="116" t="s">
        <v>143</v>
      </c>
      <c r="N75" s="74"/>
    </row>
    <row r="76" spans="1:439" s="3" customFormat="1" ht="73.150000000000006" customHeight="1">
      <c r="A76" s="27">
        <v>68</v>
      </c>
      <c r="B76" s="9" t="s">
        <v>92</v>
      </c>
      <c r="C76" s="82" t="s">
        <v>278</v>
      </c>
      <c r="D76" s="82" t="s">
        <v>277</v>
      </c>
      <c r="E76" s="8" t="s">
        <v>164</v>
      </c>
      <c r="F76" s="10" t="s">
        <v>12</v>
      </c>
      <c r="G76" s="11">
        <v>1</v>
      </c>
      <c r="H76" s="12">
        <f>732000/1.12</f>
        <v>653571.42857142852</v>
      </c>
      <c r="I76" s="13">
        <f t="shared" si="0"/>
        <v>653571.42857142852</v>
      </c>
      <c r="J76" s="92"/>
      <c r="K76" s="92"/>
      <c r="L76" s="92"/>
      <c r="M76" s="116" t="s">
        <v>143</v>
      </c>
      <c r="N76" s="74"/>
    </row>
    <row r="77" spans="1:439" s="3" customFormat="1" ht="50.45" customHeight="1">
      <c r="A77" s="27">
        <v>69</v>
      </c>
      <c r="B77" s="9" t="s">
        <v>92</v>
      </c>
      <c r="C77" s="82" t="s">
        <v>287</v>
      </c>
      <c r="D77" s="82" t="s">
        <v>279</v>
      </c>
      <c r="E77" s="8" t="s">
        <v>197</v>
      </c>
      <c r="F77" s="10" t="s">
        <v>18</v>
      </c>
      <c r="G77" s="11">
        <v>1</v>
      </c>
      <c r="H77" s="12">
        <f>4077412.5/1.12</f>
        <v>3640546.8749999995</v>
      </c>
      <c r="I77" s="13">
        <f t="shared" si="0"/>
        <v>3640546.8749999995</v>
      </c>
      <c r="J77" s="13"/>
      <c r="K77" s="13"/>
      <c r="L77" s="13"/>
      <c r="M77" s="116" t="s">
        <v>143</v>
      </c>
    </row>
    <row r="78" spans="1:439" s="3" customFormat="1" ht="57" customHeight="1">
      <c r="A78" s="27">
        <v>70</v>
      </c>
      <c r="B78" s="9" t="s">
        <v>92</v>
      </c>
      <c r="C78" s="82" t="s">
        <v>288</v>
      </c>
      <c r="D78" s="82" t="s">
        <v>280</v>
      </c>
      <c r="E78" s="8" t="s">
        <v>197</v>
      </c>
      <c r="F78" s="10" t="s">
        <v>18</v>
      </c>
      <c r="G78" s="11">
        <v>1</v>
      </c>
      <c r="H78" s="12">
        <f>3203865/1.12</f>
        <v>2860593.7499999995</v>
      </c>
      <c r="I78" s="13">
        <f t="shared" si="0"/>
        <v>2860593.7499999995</v>
      </c>
      <c r="J78" s="13"/>
      <c r="K78" s="13"/>
      <c r="L78" s="13"/>
      <c r="M78" s="116" t="s">
        <v>143</v>
      </c>
    </row>
    <row r="79" spans="1:439" s="3" customFormat="1" ht="92.45" customHeight="1">
      <c r="A79" s="27">
        <v>71</v>
      </c>
      <c r="B79" s="9" t="s">
        <v>92</v>
      </c>
      <c r="C79" s="82" t="s">
        <v>289</v>
      </c>
      <c r="D79" s="82" t="s">
        <v>281</v>
      </c>
      <c r="E79" s="8" t="s">
        <v>197</v>
      </c>
      <c r="F79" s="10" t="s">
        <v>18</v>
      </c>
      <c r="G79" s="11">
        <v>25</v>
      </c>
      <c r="H79" s="12">
        <f>403394.25/1.12</f>
        <v>360173.43749999994</v>
      </c>
      <c r="I79" s="13">
        <f t="shared" si="0"/>
        <v>9004335.9374999981</v>
      </c>
      <c r="J79" s="114"/>
      <c r="K79" s="13"/>
      <c r="L79" s="13"/>
      <c r="M79" s="116" t="s">
        <v>143</v>
      </c>
    </row>
    <row r="80" spans="1:439" s="3" customFormat="1" ht="62.45" customHeight="1">
      <c r="A80" s="27">
        <v>72</v>
      </c>
      <c r="B80" s="9" t="s">
        <v>92</v>
      </c>
      <c r="C80" s="82" t="s">
        <v>282</v>
      </c>
      <c r="D80" s="82" t="s">
        <v>282</v>
      </c>
      <c r="E80" s="8" t="s">
        <v>164</v>
      </c>
      <c r="F80" s="10" t="s">
        <v>18</v>
      </c>
      <c r="G80" s="11">
        <v>1</v>
      </c>
      <c r="H80" s="12">
        <f>673317.75/1.12</f>
        <v>601176.5625</v>
      </c>
      <c r="I80" s="13">
        <f t="shared" si="0"/>
        <v>601176.5625</v>
      </c>
      <c r="J80" s="92"/>
      <c r="K80" s="92"/>
      <c r="L80" s="92"/>
      <c r="M80" s="116" t="s">
        <v>143</v>
      </c>
    </row>
    <row r="81" spans="1:13" s="3" customFormat="1" ht="80.45" customHeight="1">
      <c r="A81" s="27">
        <v>73</v>
      </c>
      <c r="B81" s="9" t="s">
        <v>92</v>
      </c>
      <c r="C81" s="82" t="s">
        <v>290</v>
      </c>
      <c r="D81" s="82" t="s">
        <v>283</v>
      </c>
      <c r="E81" s="8" t="s">
        <v>165</v>
      </c>
      <c r="F81" s="10" t="s">
        <v>18</v>
      </c>
      <c r="G81" s="11">
        <v>2</v>
      </c>
      <c r="H81" s="12">
        <f>8393248.5/1.12</f>
        <v>7493971.8749999991</v>
      </c>
      <c r="I81" s="13">
        <f t="shared" si="0"/>
        <v>14987943.749999998</v>
      </c>
      <c r="J81" s="115"/>
      <c r="K81" s="92"/>
      <c r="L81" s="92"/>
      <c r="M81" s="116" t="s">
        <v>143</v>
      </c>
    </row>
    <row r="82" spans="1:13" s="3" customFormat="1" ht="75.599999999999994" customHeight="1">
      <c r="A82" s="27">
        <v>74</v>
      </c>
      <c r="B82" s="9" t="s">
        <v>92</v>
      </c>
      <c r="C82" s="82" t="s">
        <v>291</v>
      </c>
      <c r="D82" s="82" t="s">
        <v>284</v>
      </c>
      <c r="E82" s="8" t="s">
        <v>165</v>
      </c>
      <c r="F82" s="10" t="s">
        <v>18</v>
      </c>
      <c r="G82" s="11">
        <v>1</v>
      </c>
      <c r="H82" s="12">
        <f>19002690/1.12</f>
        <v>16966687.5</v>
      </c>
      <c r="I82" s="13">
        <f t="shared" si="0"/>
        <v>16966687.5</v>
      </c>
      <c r="J82" s="92"/>
      <c r="K82" s="92"/>
      <c r="L82" s="92"/>
      <c r="M82" s="116" t="s">
        <v>143</v>
      </c>
    </row>
    <row r="83" spans="1:13" s="3" customFormat="1" ht="70.900000000000006" customHeight="1">
      <c r="A83" s="27">
        <v>75</v>
      </c>
      <c r="B83" s="9" t="s">
        <v>92</v>
      </c>
      <c r="C83" s="82" t="s">
        <v>292</v>
      </c>
      <c r="D83" s="82" t="s">
        <v>285</v>
      </c>
      <c r="E83" s="8" t="s">
        <v>197</v>
      </c>
      <c r="F83" s="10" t="s">
        <v>18</v>
      </c>
      <c r="G83" s="11">
        <v>1</v>
      </c>
      <c r="H83" s="12">
        <f>1845952.5/1.12</f>
        <v>1648171.8749999998</v>
      </c>
      <c r="I83" s="13">
        <f t="shared" si="0"/>
        <v>1648171.8749999998</v>
      </c>
      <c r="J83" s="13"/>
      <c r="K83" s="13"/>
      <c r="L83" s="13"/>
      <c r="M83" s="116" t="s">
        <v>143</v>
      </c>
    </row>
    <row r="84" spans="1:13" s="3" customFormat="1" ht="38.450000000000003" customHeight="1">
      <c r="A84" s="27">
        <v>76</v>
      </c>
      <c r="B84" s="9" t="s">
        <v>92</v>
      </c>
      <c r="C84" s="82" t="s">
        <v>293</v>
      </c>
      <c r="D84" s="82" t="s">
        <v>286</v>
      </c>
      <c r="E84" s="8" t="s">
        <v>197</v>
      </c>
      <c r="F84" s="10" t="s">
        <v>18</v>
      </c>
      <c r="G84" s="11">
        <v>1</v>
      </c>
      <c r="H84" s="12">
        <f>2491988.1/1.12</f>
        <v>2224989.375</v>
      </c>
      <c r="I84" s="13">
        <f t="shared" si="0"/>
        <v>2224989.375</v>
      </c>
      <c r="J84" s="13"/>
      <c r="K84" s="13"/>
      <c r="L84" s="13"/>
      <c r="M84" s="116" t="s">
        <v>143</v>
      </c>
    </row>
    <row r="85" spans="1:13" s="3" customFormat="1" ht="51" customHeight="1">
      <c r="A85" s="27">
        <v>77</v>
      </c>
      <c r="B85" s="9" t="s">
        <v>92</v>
      </c>
      <c r="C85" s="82" t="s">
        <v>294</v>
      </c>
      <c r="D85" s="82" t="s">
        <v>294</v>
      </c>
      <c r="E85" s="8" t="s">
        <v>197</v>
      </c>
      <c r="F85" s="10" t="s">
        <v>18</v>
      </c>
      <c r="G85" s="11">
        <v>3</v>
      </c>
      <c r="H85" s="12">
        <f>392680.05/1.12</f>
        <v>350607.18749999994</v>
      </c>
      <c r="I85" s="13">
        <f t="shared" ref="I85:I90" si="1">G85*H85</f>
        <v>1051821.5624999998</v>
      </c>
      <c r="J85" s="13"/>
      <c r="K85" s="114"/>
      <c r="L85" s="13"/>
      <c r="M85" s="116" t="s">
        <v>145</v>
      </c>
    </row>
    <row r="86" spans="1:13" s="3" customFormat="1" ht="30.6" customHeight="1">
      <c r="A86" s="27">
        <v>78</v>
      </c>
      <c r="B86" s="9" t="s">
        <v>92</v>
      </c>
      <c r="C86" s="82" t="s">
        <v>295</v>
      </c>
      <c r="D86" s="82" t="s">
        <v>295</v>
      </c>
      <c r="E86" s="8" t="s">
        <v>197</v>
      </c>
      <c r="F86" s="10" t="s">
        <v>18</v>
      </c>
      <c r="G86" s="11">
        <f>3+20</f>
        <v>23</v>
      </c>
      <c r="H86" s="12">
        <f>75498.15/1.12</f>
        <v>67409.062499999985</v>
      </c>
      <c r="I86" s="13">
        <f t="shared" si="1"/>
        <v>1550408.4374999998</v>
      </c>
      <c r="J86" s="13"/>
      <c r="K86" s="114"/>
      <c r="L86" s="13"/>
      <c r="M86" s="116" t="s">
        <v>143</v>
      </c>
    </row>
    <row r="87" spans="1:13" s="3" customFormat="1" ht="41.45" customHeight="1">
      <c r="A87" s="27">
        <v>79</v>
      </c>
      <c r="B87" s="9" t="s">
        <v>92</v>
      </c>
      <c r="C87" s="82" t="s">
        <v>149</v>
      </c>
      <c r="D87" s="82" t="s">
        <v>149</v>
      </c>
      <c r="E87" s="8" t="s">
        <v>164</v>
      </c>
      <c r="F87" s="10" t="s">
        <v>18</v>
      </c>
      <c r="G87" s="11">
        <v>20</v>
      </c>
      <c r="H87" s="12">
        <f>39411.75/1.12</f>
        <v>35189.0625</v>
      </c>
      <c r="I87" s="13">
        <f t="shared" si="1"/>
        <v>703781.25</v>
      </c>
      <c r="J87" s="13"/>
      <c r="K87" s="114"/>
      <c r="L87" s="13"/>
      <c r="M87" s="116" t="s">
        <v>143</v>
      </c>
    </row>
    <row r="88" spans="1:13" s="3" customFormat="1" ht="48" customHeight="1">
      <c r="A88" s="27">
        <v>80</v>
      </c>
      <c r="B88" s="9" t="s">
        <v>92</v>
      </c>
      <c r="C88" s="82" t="s">
        <v>296</v>
      </c>
      <c r="D88" s="82" t="s">
        <v>296</v>
      </c>
      <c r="E88" s="8" t="s">
        <v>197</v>
      </c>
      <c r="F88" s="10" t="s">
        <v>18</v>
      </c>
      <c r="G88" s="11">
        <v>20</v>
      </c>
      <c r="H88" s="12">
        <f>172494/1.12</f>
        <v>154012.49999999997</v>
      </c>
      <c r="I88" s="13">
        <f t="shared" si="1"/>
        <v>3080249.9999999995</v>
      </c>
      <c r="J88" s="13"/>
      <c r="K88" s="114"/>
      <c r="L88" s="13"/>
      <c r="M88" s="116" t="s">
        <v>143</v>
      </c>
    </row>
    <row r="89" spans="1:13" s="3" customFormat="1" ht="91.15" customHeight="1">
      <c r="A89" s="27">
        <v>81</v>
      </c>
      <c r="B89" s="9" t="s">
        <v>92</v>
      </c>
      <c r="C89" s="82" t="s">
        <v>307</v>
      </c>
      <c r="D89" s="82" t="s">
        <v>297</v>
      </c>
      <c r="E89" s="8" t="s">
        <v>164</v>
      </c>
      <c r="F89" s="10" t="s">
        <v>18</v>
      </c>
      <c r="G89" s="11">
        <v>1</v>
      </c>
      <c r="H89" s="12">
        <f>63600/1.12</f>
        <v>56785.714285714283</v>
      </c>
      <c r="I89" s="13">
        <f t="shared" si="1"/>
        <v>56785.714285714283</v>
      </c>
      <c r="J89" s="13"/>
      <c r="K89" s="114"/>
      <c r="L89" s="13"/>
      <c r="M89" s="116" t="s">
        <v>145</v>
      </c>
    </row>
    <row r="90" spans="1:13" s="3" customFormat="1" ht="36.6" customHeight="1">
      <c r="A90" s="27">
        <v>82</v>
      </c>
      <c r="B90" s="9" t="s">
        <v>92</v>
      </c>
      <c r="C90" s="82" t="s">
        <v>303</v>
      </c>
      <c r="D90" s="82" t="s">
        <v>298</v>
      </c>
      <c r="E90" s="8" t="s">
        <v>197</v>
      </c>
      <c r="F90" s="10" t="s">
        <v>18</v>
      </c>
      <c r="G90" s="11">
        <v>1</v>
      </c>
      <c r="H90" s="12">
        <f>2790300/1.12</f>
        <v>2491339.2857142854</v>
      </c>
      <c r="I90" s="13">
        <f t="shared" si="1"/>
        <v>2491339.2857142854</v>
      </c>
      <c r="J90" s="13"/>
      <c r="K90" s="114"/>
      <c r="L90" s="13"/>
      <c r="M90" s="116" t="s">
        <v>143</v>
      </c>
    </row>
    <row r="91" spans="1:13" s="3" customFormat="1" ht="41.45" customHeight="1">
      <c r="A91" s="27">
        <v>83</v>
      </c>
      <c r="B91" s="9" t="s">
        <v>92</v>
      </c>
      <c r="C91" s="82" t="s">
        <v>304</v>
      </c>
      <c r="D91" s="82" t="s">
        <v>299</v>
      </c>
      <c r="E91" s="8" t="s">
        <v>164</v>
      </c>
      <c r="F91" s="10" t="s">
        <v>18</v>
      </c>
      <c r="G91" s="11">
        <v>22</v>
      </c>
      <c r="H91" s="12">
        <f>33690/1.12</f>
        <v>30080.357142857141</v>
      </c>
      <c r="I91" s="13">
        <f t="shared" ref="I91:I94" si="2">G91*H91</f>
        <v>661767.85714285716</v>
      </c>
      <c r="J91" s="13"/>
      <c r="K91" s="112"/>
      <c r="L91" s="112"/>
      <c r="M91" s="116" t="s">
        <v>143</v>
      </c>
    </row>
    <row r="92" spans="1:13" s="3" customFormat="1" ht="40.9" customHeight="1">
      <c r="A92" s="27">
        <v>84</v>
      </c>
      <c r="B92" s="9" t="s">
        <v>92</v>
      </c>
      <c r="C92" s="82" t="s">
        <v>305</v>
      </c>
      <c r="D92" s="82" t="s">
        <v>300</v>
      </c>
      <c r="E92" s="8" t="s">
        <v>197</v>
      </c>
      <c r="F92" s="10" t="s">
        <v>18</v>
      </c>
      <c r="G92" s="11">
        <v>22</v>
      </c>
      <c r="H92" s="12">
        <f>57100/1.12</f>
        <v>50982.142857142855</v>
      </c>
      <c r="I92" s="13">
        <f t="shared" si="2"/>
        <v>1121607.1428571427</v>
      </c>
      <c r="J92" s="13"/>
      <c r="K92" s="112"/>
      <c r="L92" s="112"/>
      <c r="M92" s="116" t="s">
        <v>143</v>
      </c>
    </row>
    <row r="93" spans="1:13" s="3" customFormat="1" ht="37.15" customHeight="1">
      <c r="A93" s="27">
        <v>85</v>
      </c>
      <c r="B93" s="9" t="s">
        <v>92</v>
      </c>
      <c r="C93" s="82" t="s">
        <v>301</v>
      </c>
      <c r="D93" s="82" t="s">
        <v>301</v>
      </c>
      <c r="E93" s="8" t="s">
        <v>164</v>
      </c>
      <c r="F93" s="10" t="s">
        <v>18</v>
      </c>
      <c r="G93" s="11">
        <v>22</v>
      </c>
      <c r="H93" s="12">
        <f>34990/1.12</f>
        <v>31241.071428571424</v>
      </c>
      <c r="I93" s="13">
        <f t="shared" si="2"/>
        <v>687303.57142857136</v>
      </c>
      <c r="J93" s="13"/>
      <c r="K93" s="112"/>
      <c r="L93" s="112"/>
      <c r="M93" s="116" t="s">
        <v>143</v>
      </c>
    </row>
    <row r="94" spans="1:13" s="3" customFormat="1" ht="46.15" customHeight="1" thickBot="1">
      <c r="A94" s="84">
        <v>86</v>
      </c>
      <c r="B94" s="85" t="s">
        <v>92</v>
      </c>
      <c r="C94" s="86" t="s">
        <v>306</v>
      </c>
      <c r="D94" s="86" t="s">
        <v>302</v>
      </c>
      <c r="E94" s="87" t="s">
        <v>164</v>
      </c>
      <c r="F94" s="88" t="s">
        <v>18</v>
      </c>
      <c r="G94" s="89">
        <v>22</v>
      </c>
      <c r="H94" s="90">
        <f>44642.86/1.12</f>
        <v>39859.696428571428</v>
      </c>
      <c r="I94" s="91">
        <f t="shared" si="2"/>
        <v>876913.32142857136</v>
      </c>
      <c r="J94" s="91"/>
      <c r="K94" s="117"/>
      <c r="L94" s="117"/>
      <c r="M94" s="118" t="s">
        <v>143</v>
      </c>
    </row>
    <row r="95" spans="1:13" s="3" customFormat="1" ht="28.15" customHeight="1">
      <c r="A95" s="34"/>
      <c r="B95" s="34"/>
      <c r="C95" s="75"/>
      <c r="D95" s="75"/>
      <c r="E95" s="76"/>
      <c r="F95" s="77"/>
      <c r="G95" s="78"/>
      <c r="H95" s="79"/>
      <c r="I95" s="80"/>
      <c r="J95" s="80"/>
      <c r="K95" s="80"/>
      <c r="L95" s="80"/>
      <c r="M95" s="81"/>
    </row>
    <row r="97" spans="3:15" ht="24" customHeight="1"/>
    <row r="99" spans="3:15" ht="24.6" customHeight="1">
      <c r="C99" s="141" t="s">
        <v>37</v>
      </c>
      <c r="D99" s="142"/>
      <c r="F99" s="141" t="s">
        <v>308</v>
      </c>
      <c r="G99" s="142"/>
      <c r="M99" s="101"/>
    </row>
    <row r="100" spans="3:15" ht="37.15" customHeight="1">
      <c r="J100" s="22" t="s">
        <v>64</v>
      </c>
    </row>
    <row r="101" spans="3:15" ht="25.15" customHeight="1">
      <c r="C101" s="136" t="s">
        <v>38</v>
      </c>
      <c r="D101" s="136"/>
      <c r="F101" s="141" t="s">
        <v>56</v>
      </c>
      <c r="G101" s="120"/>
      <c r="L101" s="22" t="s">
        <v>319</v>
      </c>
    </row>
    <row r="102" spans="3:15" ht="18.75">
      <c r="C102" s="72"/>
      <c r="D102" s="72"/>
      <c r="F102" s="97"/>
    </row>
    <row r="103" spans="3:15" ht="23.45" customHeight="1">
      <c r="C103" s="136" t="s">
        <v>57</v>
      </c>
      <c r="D103" s="136"/>
      <c r="F103" s="141" t="s">
        <v>156</v>
      </c>
      <c r="G103" s="120"/>
      <c r="L103" s="22" t="s">
        <v>316</v>
      </c>
    </row>
    <row r="104" spans="3:15" ht="18.75">
      <c r="C104" s="72"/>
      <c r="D104" s="72"/>
      <c r="F104" s="97"/>
    </row>
    <row r="105" spans="3:15" ht="28.15" customHeight="1">
      <c r="C105" s="136" t="s">
        <v>314</v>
      </c>
      <c r="D105" s="136"/>
      <c r="F105" s="141" t="s">
        <v>67</v>
      </c>
      <c r="G105" s="120"/>
      <c r="L105" s="22" t="s">
        <v>309</v>
      </c>
      <c r="O105" s="5"/>
    </row>
    <row r="106" spans="3:15" ht="18.75">
      <c r="F106" s="97"/>
      <c r="L106" s="22"/>
      <c r="O106" s="5"/>
    </row>
    <row r="107" spans="3:15" ht="27.6" customHeight="1">
      <c r="C107" s="136" t="s">
        <v>313</v>
      </c>
      <c r="D107" s="136"/>
      <c r="F107" s="141" t="s">
        <v>320</v>
      </c>
      <c r="G107" s="120"/>
      <c r="L107" s="22"/>
      <c r="O107" s="5"/>
    </row>
    <row r="108" spans="3:15" ht="18.75">
      <c r="F108" s="97"/>
      <c r="L108" s="22" t="s">
        <v>311</v>
      </c>
      <c r="O108" s="5"/>
    </row>
    <row r="109" spans="3:15" ht="27" customHeight="1">
      <c r="C109" s="136" t="s">
        <v>315</v>
      </c>
      <c r="D109" s="136"/>
      <c r="F109" s="141" t="s">
        <v>310</v>
      </c>
      <c r="G109" s="120"/>
      <c r="M109" s="22"/>
      <c r="O109" s="5"/>
    </row>
    <row r="110" spans="3:15" ht="18.75">
      <c r="F110" s="97"/>
      <c r="M110" s="22"/>
      <c r="O110" s="5"/>
    </row>
    <row r="111" spans="3:15">
      <c r="O111" s="5"/>
    </row>
    <row r="112" spans="3:15" ht="14.45" customHeight="1">
      <c r="O112" s="5"/>
    </row>
    <row r="113" spans="3:15">
      <c r="O113" s="5"/>
    </row>
    <row r="114" spans="3:15">
      <c r="O114" s="5"/>
    </row>
    <row r="115" spans="3:15">
      <c r="O115" s="5"/>
    </row>
    <row r="116" spans="3:15" ht="18.75">
      <c r="F116" s="22"/>
      <c r="G116" s="22"/>
      <c r="O116" s="5"/>
    </row>
    <row r="117" spans="3:15" ht="18.75">
      <c r="F117" s="22"/>
      <c r="G117" s="22"/>
      <c r="O117" s="5"/>
    </row>
    <row r="118" spans="3:15" ht="18.75">
      <c r="F118" s="22"/>
      <c r="G118" s="22"/>
      <c r="O118" s="5"/>
    </row>
    <row r="119" spans="3:15" ht="18.75">
      <c r="F119" s="22" t="s">
        <v>43</v>
      </c>
      <c r="G119" s="22"/>
      <c r="O119" s="5"/>
    </row>
    <row r="120" spans="3:15" ht="18.75">
      <c r="F120" s="22"/>
      <c r="G120" s="22"/>
      <c r="O120" s="5"/>
    </row>
    <row r="121" spans="3:15">
      <c r="O121" s="5"/>
    </row>
    <row r="122" spans="3:15">
      <c r="O122" s="5"/>
    </row>
    <row r="123" spans="3:15">
      <c r="O123" s="5"/>
    </row>
    <row r="124" spans="3:15">
      <c r="O124" s="5"/>
    </row>
    <row r="125" spans="3:15" ht="23.45" customHeight="1">
      <c r="C125" s="136" t="s">
        <v>312</v>
      </c>
      <c r="D125" s="136"/>
      <c r="O125" s="5"/>
    </row>
    <row r="126" spans="3:15">
      <c r="O126" s="5"/>
    </row>
    <row r="127" spans="3:15">
      <c r="O127" s="5"/>
    </row>
    <row r="128" spans="3:15">
      <c r="O128" s="5"/>
    </row>
    <row r="129" spans="15:15">
      <c r="O129" s="5"/>
    </row>
    <row r="130" spans="15:15">
      <c r="O130" s="5"/>
    </row>
    <row r="131" spans="15:15">
      <c r="O131" s="5"/>
    </row>
    <row r="132" spans="15:15">
      <c r="O132" s="5"/>
    </row>
    <row r="133" spans="15:15">
      <c r="O133" s="5"/>
    </row>
    <row r="134" spans="15:15">
      <c r="O134" s="5"/>
    </row>
    <row r="135" spans="15:15">
      <c r="O135" s="5"/>
    </row>
    <row r="136" spans="15:15">
      <c r="O136" s="5"/>
    </row>
    <row r="137" spans="15:15">
      <c r="O137" s="5"/>
    </row>
    <row r="138" spans="15:15">
      <c r="O138" s="5"/>
    </row>
    <row r="139" spans="15:15">
      <c r="O139" s="5"/>
    </row>
  </sheetData>
  <mergeCells count="27">
    <mergeCell ref="F107:G107"/>
    <mergeCell ref="F101:G101"/>
    <mergeCell ref="F105:G105"/>
    <mergeCell ref="F103:G103"/>
    <mergeCell ref="A2:H2"/>
    <mergeCell ref="A6:A7"/>
    <mergeCell ref="B6:B7"/>
    <mergeCell ref="C6:C7"/>
    <mergeCell ref="D6:D7"/>
    <mergeCell ref="E6:E7"/>
    <mergeCell ref="F6:F7"/>
    <mergeCell ref="C125:D125"/>
    <mergeCell ref="G6:G7"/>
    <mergeCell ref="H6:H7"/>
    <mergeCell ref="I6:I7"/>
    <mergeCell ref="M6:M7"/>
    <mergeCell ref="J6:J7"/>
    <mergeCell ref="C105:D105"/>
    <mergeCell ref="C107:D107"/>
    <mergeCell ref="C99:D99"/>
    <mergeCell ref="C101:D101"/>
    <mergeCell ref="C103:D103"/>
    <mergeCell ref="K6:K7"/>
    <mergeCell ref="L6:L7"/>
    <mergeCell ref="F109:G109"/>
    <mergeCell ref="C109:D109"/>
    <mergeCell ref="F99:G99"/>
  </mergeCells>
  <pageMargins left="0.51181102362204722" right="0.19685039370078741" top="0.39370078740157483" bottom="0.15748031496062992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План 2019</vt:lpstr>
      <vt:lpstr>'План 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Толеш Райгул Саликызы</dc:creator>
  <cp:lastModifiedBy>Lisa</cp:lastModifiedBy>
  <cp:lastPrinted>2018-12-28T12:02:19Z</cp:lastPrinted>
  <dcterms:created xsi:type="dcterms:W3CDTF">2014-12-22T07:52:35Z</dcterms:created>
  <dcterms:modified xsi:type="dcterms:W3CDTF">2018-12-28T13:26:12Z</dcterms:modified>
</cp:coreProperties>
</file>